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showInkAnnotation="0" autoCompressPictures="0"/>
  <mc:AlternateContent xmlns:mc="http://schemas.openxmlformats.org/markup-compatibility/2006">
    <mc:Choice Requires="x15">
      <x15ac:absPath xmlns:x15ac="http://schemas.microsoft.com/office/spreadsheetml/2010/11/ac" url="C:\Users\shipr\SafeSync\Team Shares\Grants\2022 CRISI MEDOT One North\BCA\"/>
    </mc:Choice>
  </mc:AlternateContent>
  <xr:revisionPtr revIDLastSave="0" documentId="13_ncr:1_{2BB7B3F5-340C-4547-AE53-A788AE3724A6}" xr6:coauthVersionLast="47" xr6:coauthVersionMax="47" xr10:uidLastSave="{00000000-0000-0000-0000-000000000000}"/>
  <bookViews>
    <workbookView xWindow="67080" yWindow="-120" windowWidth="29040" windowHeight="15720" tabRatio="1000" xr2:uid="{00000000-000D-0000-FFFF-FFFF00000000}"/>
  </bookViews>
  <sheets>
    <sheet name="Summary" sheetId="19" r:id="rId1"/>
    <sheet name="BCA Summary" sheetId="12" r:id="rId2"/>
    <sheet name="Initial Capital Cost" sheetId="15" r:id="rId3"/>
    <sheet name="Maintenance Costs" sheetId="3" r:id="rId4"/>
    <sheet name="Truck Elimination (Inbound)" sheetId="8" r:id="rId5"/>
    <sheet name="Rail Impact-Baseline (Inbound)" sheetId="9" r:id="rId6"/>
    <sheet name="Truck Elimination (Outbound)" sheetId="10" r:id="rId7"/>
    <sheet name="Rail Impact-Baseline (Outbound)" sheetId="11" r:id="rId8"/>
    <sheet name="Truck Elim (New Park Customers)" sheetId="17" r:id="rId9"/>
    <sheet name="Rail Base (New Park Customers)" sheetId="18" r:id="rId10"/>
    <sheet name="CO2 Net Savings" sheetId="13" r:id="rId11"/>
    <sheet name="BNSF Carbon Calculator" sheetId="14" r:id="rId12"/>
    <sheet name="Inbound Carload Projections" sheetId="7" r:id="rId13"/>
    <sheet name="Outbound Carload Projections" sheetId="5" r:id="rId14"/>
    <sheet name="New Park Customer Carload Proj." sheetId="16" r:id="rId15"/>
    <sheet name="Distance" sheetId="6" r:id="rId16"/>
  </sheets>
  <definedNames>
    <definedName name="_xlnm.Print_Area" localSheetId="1">'BCA Summary'!$A$1:$E$15</definedName>
    <definedName name="_xlnm.Print_Area" localSheetId="12">'Inbound Carload Projections'!$A$1:$M$33</definedName>
    <definedName name="_xlnm.Print_Area" localSheetId="14">'New Park Customer Carload Proj.'!$A$1:$H$33</definedName>
    <definedName name="_xlnm.Print_Area" localSheetId="13">'Outbound Carload Projections'!$A$1:$H$33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0" i="17" l="1"/>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9" i="17"/>
  <c r="T9" i="17" s="1"/>
  <c r="H10" i="10"/>
  <c r="H11" i="10"/>
  <c r="H12" i="10"/>
  <c r="H13" i="10"/>
  <c r="H14" i="10"/>
  <c r="H15" i="10"/>
  <c r="H16" i="10"/>
  <c r="H17" i="10"/>
  <c r="H18" i="10"/>
  <c r="H19" i="10"/>
  <c r="H20" i="10"/>
  <c r="H21" i="10"/>
  <c r="H22" i="10"/>
  <c r="H23" i="10"/>
  <c r="H24" i="10"/>
  <c r="H25" i="10"/>
  <c r="T25" i="10" s="1"/>
  <c r="H26" i="10"/>
  <c r="H27" i="10"/>
  <c r="H28" i="10"/>
  <c r="H29" i="10"/>
  <c r="H30" i="10"/>
  <c r="H31" i="10"/>
  <c r="H32" i="10"/>
  <c r="H33" i="10"/>
  <c r="H34" i="10"/>
  <c r="H35" i="10"/>
  <c r="H36" i="10"/>
  <c r="H37" i="10"/>
  <c r="H38" i="10"/>
  <c r="H9" i="10"/>
  <c r="T9" i="10" s="1"/>
  <c r="H10" i="8"/>
  <c r="H11" i="8"/>
  <c r="H12" i="8"/>
  <c r="H13" i="8"/>
  <c r="H14" i="8"/>
  <c r="H15" i="8"/>
  <c r="H16" i="8"/>
  <c r="H17" i="8"/>
  <c r="T17" i="8" s="1"/>
  <c r="H18" i="8"/>
  <c r="T18" i="8" s="1"/>
  <c r="H19" i="8"/>
  <c r="H20" i="8"/>
  <c r="H21" i="8"/>
  <c r="H22" i="8"/>
  <c r="H23" i="8"/>
  <c r="H24" i="8"/>
  <c r="H25" i="8"/>
  <c r="H26" i="8"/>
  <c r="H27" i="8"/>
  <c r="H28" i="8"/>
  <c r="H29" i="8"/>
  <c r="H30" i="8"/>
  <c r="H31" i="8"/>
  <c r="H32" i="8"/>
  <c r="H33" i="8"/>
  <c r="H34" i="8"/>
  <c r="T34" i="8" s="1"/>
  <c r="H35" i="8"/>
  <c r="H36" i="8"/>
  <c r="H37" i="8"/>
  <c r="H38" i="8"/>
  <c r="H9" i="8"/>
  <c r="F10" i="17"/>
  <c r="F11" i="17"/>
  <c r="F12" i="17"/>
  <c r="F13" i="17"/>
  <c r="F14" i="17"/>
  <c r="F15" i="17"/>
  <c r="F16" i="17"/>
  <c r="F17" i="17"/>
  <c r="F18" i="17"/>
  <c r="F19" i="17"/>
  <c r="F20" i="17"/>
  <c r="F21" i="17"/>
  <c r="F22" i="17"/>
  <c r="F23" i="17"/>
  <c r="F24" i="17"/>
  <c r="F25" i="17"/>
  <c r="F26" i="17"/>
  <c r="F27" i="17"/>
  <c r="F28" i="17"/>
  <c r="F29" i="17"/>
  <c r="F30" i="17"/>
  <c r="F31" i="17"/>
  <c r="F32" i="17"/>
  <c r="F33" i="17"/>
  <c r="F34" i="17"/>
  <c r="F35" i="17"/>
  <c r="F36" i="17"/>
  <c r="F37" i="17"/>
  <c r="F38" i="17"/>
  <c r="F9" i="17"/>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9" i="10"/>
  <c r="F10" i="8"/>
  <c r="F11" i="8"/>
  <c r="F12" i="8"/>
  <c r="F13" i="8"/>
  <c r="F14" i="8"/>
  <c r="F15" i="8"/>
  <c r="F16" i="8"/>
  <c r="F17" i="8"/>
  <c r="F18" i="8"/>
  <c r="F19" i="8"/>
  <c r="F20" i="8"/>
  <c r="F21" i="8"/>
  <c r="F22" i="8"/>
  <c r="F23" i="8"/>
  <c r="T23" i="8" s="1"/>
  <c r="F24" i="8"/>
  <c r="F25" i="8"/>
  <c r="F26" i="8"/>
  <c r="F27" i="8"/>
  <c r="F28" i="8"/>
  <c r="F29" i="8"/>
  <c r="F30" i="8"/>
  <c r="F31" i="8"/>
  <c r="F32" i="8"/>
  <c r="F33" i="8"/>
  <c r="F34" i="8"/>
  <c r="F35" i="8"/>
  <c r="F36" i="8"/>
  <c r="F37" i="8"/>
  <c r="F38" i="8"/>
  <c r="F9" i="8"/>
  <c r="T9" i="8" s="1"/>
  <c r="T10" i="10"/>
  <c r="T11" i="10"/>
  <c r="T12" i="10"/>
  <c r="T13" i="10"/>
  <c r="T14" i="10"/>
  <c r="T15" i="10"/>
  <c r="T16" i="10"/>
  <c r="T26" i="10"/>
  <c r="T27" i="10"/>
  <c r="T28" i="10"/>
  <c r="T29" i="10"/>
  <c r="T30" i="10"/>
  <c r="T31" i="10"/>
  <c r="T32" i="10"/>
  <c r="K38" i="17"/>
  <c r="J38" i="17"/>
  <c r="K37" i="17"/>
  <c r="J37" i="17"/>
  <c r="K36" i="17"/>
  <c r="J36" i="17"/>
  <c r="K35" i="17"/>
  <c r="J35" i="17"/>
  <c r="K34" i="17"/>
  <c r="J34" i="17"/>
  <c r="K33" i="17"/>
  <c r="J33" i="17"/>
  <c r="K32" i="17"/>
  <c r="J32" i="17"/>
  <c r="K31" i="17"/>
  <c r="J31" i="17"/>
  <c r="K30" i="17"/>
  <c r="J30" i="17"/>
  <c r="K29" i="17"/>
  <c r="J29" i="17"/>
  <c r="K28" i="17"/>
  <c r="J28" i="17"/>
  <c r="K27" i="17"/>
  <c r="J27" i="17"/>
  <c r="K26" i="17"/>
  <c r="J26" i="17"/>
  <c r="K25" i="17"/>
  <c r="J25" i="17"/>
  <c r="K24" i="17"/>
  <c r="J24" i="17"/>
  <c r="K23" i="17"/>
  <c r="J23" i="17"/>
  <c r="K22" i="17"/>
  <c r="J22" i="17"/>
  <c r="K21" i="17"/>
  <c r="J21" i="17"/>
  <c r="K20" i="17"/>
  <c r="J20" i="17"/>
  <c r="K19" i="17"/>
  <c r="J19" i="17"/>
  <c r="K18" i="17"/>
  <c r="J18" i="17"/>
  <c r="K17" i="17"/>
  <c r="J17" i="17"/>
  <c r="K16" i="17"/>
  <c r="J16" i="17"/>
  <c r="K15" i="17"/>
  <c r="J15" i="17"/>
  <c r="K14" i="17"/>
  <c r="J14" i="17"/>
  <c r="K13" i="17"/>
  <c r="J13" i="17"/>
  <c r="K12" i="17"/>
  <c r="J12" i="17"/>
  <c r="K11" i="17"/>
  <c r="J11" i="17"/>
  <c r="K10" i="17"/>
  <c r="J10" i="17"/>
  <c r="K9" i="17"/>
  <c r="K39" i="17" s="1"/>
  <c r="J9" i="17"/>
  <c r="J39" i="17" s="1"/>
  <c r="K3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9"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T10" i="8"/>
  <c r="T11" i="8"/>
  <c r="T12" i="8"/>
  <c r="T13" i="8"/>
  <c r="T14" i="8"/>
  <c r="T15" i="8"/>
  <c r="T16" i="8"/>
  <c r="T19" i="8"/>
  <c r="T20" i="8"/>
  <c r="T26" i="8"/>
  <c r="T27" i="8"/>
  <c r="T28" i="8"/>
  <c r="T29" i="8"/>
  <c r="T30" i="8"/>
  <c r="T31" i="8"/>
  <c r="T32" i="8"/>
  <c r="T35" i="8"/>
  <c r="T36" i="8"/>
  <c r="T38"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T23" i="10" l="1"/>
  <c r="T38" i="10"/>
  <c r="T22" i="10"/>
  <c r="T37" i="10"/>
  <c r="T21" i="10"/>
  <c r="T36" i="10"/>
  <c r="T20" i="10"/>
  <c r="T35" i="10"/>
  <c r="T19" i="10"/>
  <c r="T34" i="10"/>
  <c r="T18" i="10"/>
  <c r="T24" i="10"/>
  <c r="T33" i="10"/>
  <c r="T17" i="10"/>
  <c r="T25" i="8"/>
  <c r="T22" i="8"/>
  <c r="T24" i="8"/>
  <c r="T37" i="8"/>
  <c r="T21" i="8"/>
  <c r="T33"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9" i="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9" i="18"/>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36" i="11"/>
  <c r="J37" i="11"/>
  <c r="J38" i="11"/>
  <c r="J9" i="11"/>
  <c r="J2" i="18"/>
  <c r="J2" i="11"/>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9" i="9"/>
  <c r="E16" i="14"/>
  <c r="D16" i="14"/>
  <c r="F25" i="14"/>
  <c r="F24" i="14"/>
  <c r="K2" i="18" l="1"/>
  <c r="O2" i="17"/>
  <c r="K2" i="11"/>
  <c r="O2" i="10"/>
  <c r="K2" i="9"/>
  <c r="K10" i="18" l="1"/>
  <c r="K9" i="18"/>
  <c r="K10" i="11"/>
  <c r="K9" i="11"/>
  <c r="K10" i="9"/>
  <c r="K9" i="9"/>
  <c r="O10" i="8"/>
  <c r="O11" i="8" s="1"/>
  <c r="O10" i="10"/>
  <c r="O9" i="17"/>
  <c r="O9" i="10"/>
  <c r="O12" i="8" l="1"/>
  <c r="K11" i="18"/>
  <c r="K11" i="9"/>
  <c r="O11" i="17"/>
  <c r="K11" i="11"/>
  <c r="O12" i="10"/>
  <c r="O12" i="17"/>
  <c r="O11" i="10"/>
  <c r="O10" i="17"/>
  <c r="C9" i="18"/>
  <c r="H2" i="16"/>
  <c r="D33" i="17" s="1"/>
  <c r="J2" i="16"/>
  <c r="D17" i="18" s="1"/>
  <c r="B5" i="16"/>
  <c r="F5" i="16" s="1"/>
  <c r="C10" i="17" s="1"/>
  <c r="F4" i="16"/>
  <c r="C9" i="17" s="1"/>
  <c r="L9" i="17" s="1"/>
  <c r="D32" i="18" l="1"/>
  <c r="D13" i="18"/>
  <c r="D19" i="17"/>
  <c r="D32" i="17"/>
  <c r="D17" i="17"/>
  <c r="D30" i="18"/>
  <c r="D16" i="17"/>
  <c r="D15" i="17"/>
  <c r="D28" i="17"/>
  <c r="D28" i="18"/>
  <c r="D12" i="18"/>
  <c r="D16" i="18"/>
  <c r="D14" i="18"/>
  <c r="D29" i="17"/>
  <c r="D29" i="18"/>
  <c r="D14" i="17"/>
  <c r="D27" i="17"/>
  <c r="D27" i="18"/>
  <c r="D11" i="18"/>
  <c r="D13" i="17"/>
  <c r="D26" i="17"/>
  <c r="D26" i="18"/>
  <c r="D10" i="18"/>
  <c r="D31" i="17"/>
  <c r="D30" i="17"/>
  <c r="D25" i="18"/>
  <c r="D9" i="18"/>
  <c r="D23" i="18"/>
  <c r="D25" i="17"/>
  <c r="D9" i="17"/>
  <c r="E9" i="17" s="1"/>
  <c r="D38" i="17"/>
  <c r="D38" i="18"/>
  <c r="D22" i="18"/>
  <c r="D15" i="18"/>
  <c r="D12" i="17"/>
  <c r="D24" i="18"/>
  <c r="D24" i="17"/>
  <c r="D37" i="17"/>
  <c r="D37" i="18"/>
  <c r="D21" i="18"/>
  <c r="D11" i="17"/>
  <c r="D10" i="17"/>
  <c r="E10" i="17" s="1"/>
  <c r="D23" i="17"/>
  <c r="D36" i="17"/>
  <c r="D36" i="18"/>
  <c r="D20" i="18"/>
  <c r="D31" i="18"/>
  <c r="E9" i="18"/>
  <c r="G9" i="18" s="1"/>
  <c r="D22" i="17"/>
  <c r="D35" i="17"/>
  <c r="D35" i="18"/>
  <c r="D19" i="18"/>
  <c r="D18" i="17"/>
  <c r="D21" i="17"/>
  <c r="D34" i="17"/>
  <c r="D34" i="18"/>
  <c r="D18" i="18"/>
  <c r="D20" i="17"/>
  <c r="D33" i="18"/>
  <c r="O13" i="8"/>
  <c r="K12" i="18"/>
  <c r="K12" i="9"/>
  <c r="K12" i="11"/>
  <c r="O13" i="10"/>
  <c r="L10" i="17"/>
  <c r="M10" i="17" s="1"/>
  <c r="C10" i="18"/>
  <c r="L10" i="18" s="1"/>
  <c r="M9" i="17"/>
  <c r="L9" i="18"/>
  <c r="E10" i="18"/>
  <c r="B6" i="16"/>
  <c r="B7" i="16" s="1"/>
  <c r="J4" i="16"/>
  <c r="J5" i="16"/>
  <c r="H4" i="16"/>
  <c r="H5" i="16"/>
  <c r="M9" i="18" l="1"/>
  <c r="Q9" i="18" s="1"/>
  <c r="P9" i="18"/>
  <c r="N9" i="18"/>
  <c r="O9" i="18"/>
  <c r="O14" i="8"/>
  <c r="K13" i="11"/>
  <c r="K13" i="18"/>
  <c r="K13" i="9"/>
  <c r="F9" i="18"/>
  <c r="O13" i="17"/>
  <c r="O14" i="17"/>
  <c r="O14" i="10"/>
  <c r="S10" i="17"/>
  <c r="Q10" i="17"/>
  <c r="R10" i="17"/>
  <c r="N10" i="17"/>
  <c r="P10" i="17" s="1"/>
  <c r="G10" i="17"/>
  <c r="I10" i="17"/>
  <c r="C11" i="18"/>
  <c r="F6" i="16"/>
  <c r="G10" i="18"/>
  <c r="F10" i="18"/>
  <c r="P10" i="18"/>
  <c r="O10" i="18"/>
  <c r="M10" i="18"/>
  <c r="N10" i="18"/>
  <c r="H9" i="18"/>
  <c r="I9" i="18"/>
  <c r="R9" i="17"/>
  <c r="I9" i="17"/>
  <c r="G9" i="17"/>
  <c r="S9" i="17"/>
  <c r="Q9" i="17"/>
  <c r="N9" i="17"/>
  <c r="H6" i="16"/>
  <c r="O15" i="8" l="1"/>
  <c r="K14" i="11"/>
  <c r="K14" i="18"/>
  <c r="K14" i="9"/>
  <c r="O15" i="17"/>
  <c r="O15" i="10"/>
  <c r="T10" i="17"/>
  <c r="U10" i="17" s="1"/>
  <c r="B8" i="16"/>
  <c r="C12" i="18"/>
  <c r="F7" i="16"/>
  <c r="E11" i="18"/>
  <c r="L11" i="18"/>
  <c r="J6" i="16"/>
  <c r="C11" i="17"/>
  <c r="P9" i="17"/>
  <c r="H10" i="18"/>
  <c r="I10" i="18"/>
  <c r="Q10" i="18"/>
  <c r="R10" i="18" s="1"/>
  <c r="R9" i="18"/>
  <c r="O16" i="8" l="1"/>
  <c r="K15" i="9"/>
  <c r="K15" i="11"/>
  <c r="K15" i="18"/>
  <c r="O16" i="17"/>
  <c r="O16" i="10"/>
  <c r="L11" i="17"/>
  <c r="E11" i="17"/>
  <c r="E12" i="18"/>
  <c r="L12" i="18"/>
  <c r="B9" i="16"/>
  <c r="B10" i="16" s="1"/>
  <c r="C13" i="18"/>
  <c r="F8" i="16"/>
  <c r="N11" i="18"/>
  <c r="G11" i="18"/>
  <c r="F11" i="18"/>
  <c r="P11" i="18"/>
  <c r="M11" i="18"/>
  <c r="O11" i="18"/>
  <c r="J7" i="16"/>
  <c r="C12" i="17"/>
  <c r="H7" i="16"/>
  <c r="O17" i="8" l="1"/>
  <c r="K16" i="9"/>
  <c r="K16" i="11"/>
  <c r="K16" i="18"/>
  <c r="O17" i="10"/>
  <c r="O17" i="17"/>
  <c r="M11" i="17"/>
  <c r="Q11" i="18"/>
  <c r="J8" i="16"/>
  <c r="C13" i="17"/>
  <c r="H8" i="16"/>
  <c r="I11" i="18"/>
  <c r="H11" i="18"/>
  <c r="L13" i="18"/>
  <c r="E13" i="18"/>
  <c r="C14" i="18"/>
  <c r="F9" i="16"/>
  <c r="F12" i="18"/>
  <c r="P12" i="18"/>
  <c r="N12" i="18"/>
  <c r="G12" i="18"/>
  <c r="O12" i="18"/>
  <c r="M12" i="18"/>
  <c r="E12" i="17"/>
  <c r="L12" i="17"/>
  <c r="M12" i="17" s="1"/>
  <c r="I11" i="17"/>
  <c r="S11" i="17"/>
  <c r="N11" i="17"/>
  <c r="G11" i="17"/>
  <c r="R11" i="17"/>
  <c r="Q11" i="17"/>
  <c r="U9" i="17"/>
  <c r="O18" i="8" l="1"/>
  <c r="K17" i="9"/>
  <c r="K17" i="11"/>
  <c r="K17" i="18"/>
  <c r="L14" i="18"/>
  <c r="E14" i="18"/>
  <c r="G13" i="18"/>
  <c r="N13" i="18"/>
  <c r="M13" i="18"/>
  <c r="F13" i="18"/>
  <c r="P13" i="18"/>
  <c r="O13" i="18"/>
  <c r="E13" i="17"/>
  <c r="L13" i="17"/>
  <c r="M13" i="17" s="1"/>
  <c r="B11" i="16"/>
  <c r="C15" i="18"/>
  <c r="F10" i="16"/>
  <c r="H12" i="18"/>
  <c r="I12" i="18"/>
  <c r="P11" i="17"/>
  <c r="Q12" i="17"/>
  <c r="S12" i="17"/>
  <c r="I12" i="17"/>
  <c r="R12" i="17"/>
  <c r="G12" i="17"/>
  <c r="N12" i="17"/>
  <c r="P12" i="17" s="1"/>
  <c r="R11" i="18"/>
  <c r="J9" i="16"/>
  <c r="C14" i="17"/>
  <c r="H9" i="16"/>
  <c r="Q12" i="18"/>
  <c r="R12" i="18" s="1"/>
  <c r="O19" i="8" l="1"/>
  <c r="K18" i="18"/>
  <c r="K18" i="9"/>
  <c r="K18" i="11"/>
  <c r="O18" i="10"/>
  <c r="O18" i="17"/>
  <c r="O19" i="10"/>
  <c r="O19" i="17"/>
  <c r="H13" i="18"/>
  <c r="I13" i="18"/>
  <c r="T11" i="17"/>
  <c r="G13" i="17"/>
  <c r="R13" i="17"/>
  <c r="I13" i="17"/>
  <c r="S13" i="17"/>
  <c r="Q13" i="17"/>
  <c r="N13" i="17"/>
  <c r="T12" i="17"/>
  <c r="U12" i="17" s="1"/>
  <c r="E14" i="17"/>
  <c r="L14" i="17"/>
  <c r="M14" i="17" s="1"/>
  <c r="Q13" i="18"/>
  <c r="R13" i="18" s="1"/>
  <c r="G14" i="18"/>
  <c r="F14" i="18"/>
  <c r="P14" i="18"/>
  <c r="O14" i="18"/>
  <c r="N14" i="18"/>
  <c r="M14" i="18"/>
  <c r="J10" i="16"/>
  <c r="C15" i="17"/>
  <c r="H10" i="16"/>
  <c r="L15" i="18"/>
  <c r="E15" i="18"/>
  <c r="B12" i="16"/>
  <c r="B13" i="16" s="1"/>
  <c r="C16" i="18"/>
  <c r="F11" i="16"/>
  <c r="O20" i="8" l="1"/>
  <c r="K19" i="11"/>
  <c r="K19" i="9"/>
  <c r="K19" i="18"/>
  <c r="O20" i="10"/>
  <c r="O20" i="17"/>
  <c r="P13" i="17"/>
  <c r="N14" i="17"/>
  <c r="P14" i="17" s="1"/>
  <c r="G14" i="17"/>
  <c r="Q14" i="17"/>
  <c r="S14" i="17"/>
  <c r="R14" i="17"/>
  <c r="I14" i="17"/>
  <c r="O15" i="18"/>
  <c r="M15" i="18"/>
  <c r="N15" i="18"/>
  <c r="G15" i="18"/>
  <c r="P15" i="18"/>
  <c r="F15" i="18"/>
  <c r="U11" i="17"/>
  <c r="H14" i="18"/>
  <c r="I14" i="18"/>
  <c r="Q14" i="18"/>
  <c r="R14" i="18" s="1"/>
  <c r="J11" i="16"/>
  <c r="C16" i="17"/>
  <c r="H11" i="16"/>
  <c r="L16" i="18"/>
  <c r="E16" i="18"/>
  <c r="C17" i="18"/>
  <c r="F12" i="16"/>
  <c r="L15" i="17"/>
  <c r="M15" i="17" s="1"/>
  <c r="E15" i="17"/>
  <c r="O21" i="8" l="1"/>
  <c r="K20" i="9"/>
  <c r="K20" i="11"/>
  <c r="K20" i="18"/>
  <c r="O21" i="10"/>
  <c r="O21" i="17"/>
  <c r="N15" i="17"/>
  <c r="P15" i="17" s="1"/>
  <c r="R15" i="17"/>
  <c r="Q15" i="17"/>
  <c r="S15" i="17"/>
  <c r="G15" i="17"/>
  <c r="I15" i="17"/>
  <c r="H15" i="18"/>
  <c r="I15" i="18"/>
  <c r="E17" i="18"/>
  <c r="L17" i="18"/>
  <c r="J12" i="16"/>
  <c r="C17" i="17"/>
  <c r="H12" i="16"/>
  <c r="C18" i="18"/>
  <c r="F13" i="16"/>
  <c r="B14" i="16"/>
  <c r="T13" i="17"/>
  <c r="Q15" i="18"/>
  <c r="G16" i="18"/>
  <c r="F16" i="18"/>
  <c r="P16" i="18"/>
  <c r="O16" i="18"/>
  <c r="N16" i="18"/>
  <c r="M16" i="18"/>
  <c r="L16" i="17"/>
  <c r="M16" i="17" s="1"/>
  <c r="E16" i="17"/>
  <c r="T14" i="17"/>
  <c r="U14" i="17" s="1"/>
  <c r="O22" i="8" l="1"/>
  <c r="K21" i="9"/>
  <c r="K21" i="11"/>
  <c r="K21" i="18"/>
  <c r="O22" i="10"/>
  <c r="O22" i="17"/>
  <c r="H16" i="18"/>
  <c r="I16" i="18"/>
  <c r="Q16" i="18"/>
  <c r="R16" i="18" s="1"/>
  <c r="R15" i="18"/>
  <c r="C19" i="18"/>
  <c r="F14" i="16"/>
  <c r="B15" i="16"/>
  <c r="B16" i="16" s="1"/>
  <c r="I16" i="17"/>
  <c r="N16" i="17"/>
  <c r="S16" i="17"/>
  <c r="Q16" i="17"/>
  <c r="R16" i="17"/>
  <c r="G16" i="17"/>
  <c r="J13" i="16"/>
  <c r="C18" i="17"/>
  <c r="H13" i="16"/>
  <c r="L18" i="18"/>
  <c r="E18" i="18"/>
  <c r="E17" i="17"/>
  <c r="L17" i="17"/>
  <c r="M17" i="17" s="1"/>
  <c r="G17" i="18"/>
  <c r="F17" i="18"/>
  <c r="P17" i="18"/>
  <c r="O17" i="18"/>
  <c r="N17" i="18"/>
  <c r="M17" i="18"/>
  <c r="U13" i="17"/>
  <c r="O23" i="8" l="1"/>
  <c r="K22" i="9"/>
  <c r="K22" i="11"/>
  <c r="K22" i="18"/>
  <c r="O23" i="10"/>
  <c r="O23" i="17"/>
  <c r="Q17" i="18"/>
  <c r="Q17" i="17"/>
  <c r="S17" i="17"/>
  <c r="N17" i="17"/>
  <c r="P17" i="17" s="1"/>
  <c r="G17" i="17"/>
  <c r="R17" i="17"/>
  <c r="I17" i="17"/>
  <c r="P18" i="18"/>
  <c r="O18" i="18"/>
  <c r="N18" i="18"/>
  <c r="M18" i="18"/>
  <c r="G18" i="18"/>
  <c r="F18" i="18"/>
  <c r="C19" i="17"/>
  <c r="J14" i="16"/>
  <c r="H14" i="16"/>
  <c r="E19" i="18"/>
  <c r="L19" i="18"/>
  <c r="L18" i="17"/>
  <c r="M18" i="17" s="1"/>
  <c r="E18" i="17"/>
  <c r="T15" i="17"/>
  <c r="P16" i="17"/>
  <c r="C20" i="18"/>
  <c r="F15" i="16"/>
  <c r="I17" i="18"/>
  <c r="H17" i="18"/>
  <c r="Q18" i="18" l="1"/>
  <c r="R18" i="18" s="1"/>
  <c r="O24" i="8"/>
  <c r="K23" i="18"/>
  <c r="K23" i="9"/>
  <c r="K23" i="11"/>
  <c r="T16" i="17"/>
  <c r="U16" i="17" s="1"/>
  <c r="O24" i="17"/>
  <c r="O24" i="10"/>
  <c r="T17" i="17"/>
  <c r="U17" i="17" s="1"/>
  <c r="I18" i="17"/>
  <c r="G18" i="17"/>
  <c r="Q18" i="17"/>
  <c r="R18" i="17"/>
  <c r="N18" i="17"/>
  <c r="S18" i="17"/>
  <c r="N19" i="18"/>
  <c r="G19" i="18"/>
  <c r="O19" i="18"/>
  <c r="P19" i="18"/>
  <c r="M19" i="18"/>
  <c r="F19" i="18"/>
  <c r="C20" i="17"/>
  <c r="J15" i="16"/>
  <c r="H15" i="16"/>
  <c r="L19" i="17"/>
  <c r="M19" i="17" s="1"/>
  <c r="E19" i="17"/>
  <c r="L20" i="18"/>
  <c r="E20" i="18"/>
  <c r="U15" i="17"/>
  <c r="C21" i="18"/>
  <c r="F16" i="16"/>
  <c r="B17" i="16"/>
  <c r="H18" i="18"/>
  <c r="I18" i="18"/>
  <c r="R17" i="18"/>
  <c r="O25" i="8" l="1"/>
  <c r="K24" i="11"/>
  <c r="K24" i="18"/>
  <c r="K24" i="9"/>
  <c r="O25" i="17"/>
  <c r="O25" i="10"/>
  <c r="Q19" i="18"/>
  <c r="R19" i="18" s="1"/>
  <c r="C22" i="18"/>
  <c r="B18" i="16"/>
  <c r="B19" i="16" s="1"/>
  <c r="F17" i="16"/>
  <c r="P18" i="17"/>
  <c r="N19" i="17"/>
  <c r="P19" i="17" s="1"/>
  <c r="R19" i="17"/>
  <c r="Q19" i="17"/>
  <c r="I19" i="17"/>
  <c r="G19" i="17"/>
  <c r="S19" i="17"/>
  <c r="H19" i="18"/>
  <c r="I19" i="18"/>
  <c r="C21" i="17"/>
  <c r="J16" i="16"/>
  <c r="H16" i="16"/>
  <c r="L21" i="18"/>
  <c r="E21" i="18"/>
  <c r="F20" i="18"/>
  <c r="M20" i="18"/>
  <c r="N20" i="18"/>
  <c r="O20" i="18"/>
  <c r="P20" i="18"/>
  <c r="G20" i="18"/>
  <c r="Q20" i="18" s="1"/>
  <c r="R20" i="18" s="1"/>
  <c r="L20" i="17"/>
  <c r="M20" i="17" s="1"/>
  <c r="E20" i="17"/>
  <c r="O26" i="8" l="1"/>
  <c r="K25" i="11"/>
  <c r="K25" i="18"/>
  <c r="K25" i="9"/>
  <c r="O26" i="10"/>
  <c r="O26" i="17"/>
  <c r="L21" i="17"/>
  <c r="M21" i="17" s="1"/>
  <c r="E21" i="17"/>
  <c r="S20" i="17"/>
  <c r="R20" i="17"/>
  <c r="Q20" i="17"/>
  <c r="N20" i="17"/>
  <c r="P20" i="17" s="1"/>
  <c r="G20" i="17"/>
  <c r="I20" i="17"/>
  <c r="C23" i="18"/>
  <c r="F18" i="16"/>
  <c r="E22" i="18"/>
  <c r="L22" i="18"/>
  <c r="T18" i="17"/>
  <c r="T19" i="17"/>
  <c r="U19" i="17" s="1"/>
  <c r="H20" i="18"/>
  <c r="I20" i="18"/>
  <c r="N21" i="18"/>
  <c r="M21" i="18"/>
  <c r="F21" i="18"/>
  <c r="P21" i="18"/>
  <c r="O21" i="18"/>
  <c r="G21" i="18"/>
  <c r="Q21" i="18" s="1"/>
  <c r="R21" i="18" s="1"/>
  <c r="C22" i="17"/>
  <c r="J17" i="16"/>
  <c r="H17" i="16"/>
  <c r="O27" i="8" l="1"/>
  <c r="K26" i="9"/>
  <c r="K26" i="18"/>
  <c r="K26" i="11"/>
  <c r="O27" i="17"/>
  <c r="O27" i="10"/>
  <c r="U18" i="17"/>
  <c r="C23" i="17"/>
  <c r="J18" i="16"/>
  <c r="H18" i="16"/>
  <c r="G22" i="18"/>
  <c r="F22" i="18"/>
  <c r="N22" i="18"/>
  <c r="M22" i="18"/>
  <c r="P22" i="18"/>
  <c r="O22" i="18"/>
  <c r="L22" i="17"/>
  <c r="M22" i="17" s="1"/>
  <c r="E22" i="17"/>
  <c r="L23" i="18"/>
  <c r="E23" i="18"/>
  <c r="B20" i="16"/>
  <c r="C24" i="18"/>
  <c r="F19" i="16"/>
  <c r="T20" i="17"/>
  <c r="U20" i="17" s="1"/>
  <c r="H21" i="18"/>
  <c r="I21" i="18"/>
  <c r="N21" i="17"/>
  <c r="P21" i="17" s="1"/>
  <c r="I21" i="17"/>
  <c r="S21" i="17"/>
  <c r="G21" i="17"/>
  <c r="R21" i="17"/>
  <c r="Q21" i="17"/>
  <c r="O28" i="8" l="1"/>
  <c r="K27" i="18"/>
  <c r="K27" i="9"/>
  <c r="K27" i="11"/>
  <c r="O28" i="10"/>
  <c r="O28" i="17"/>
  <c r="C24" i="17"/>
  <c r="H19" i="16"/>
  <c r="J19" i="16"/>
  <c r="L24" i="18"/>
  <c r="E24" i="18"/>
  <c r="C25" i="18"/>
  <c r="F20" i="16"/>
  <c r="B21" i="16"/>
  <c r="B22" i="16" s="1"/>
  <c r="M23" i="18"/>
  <c r="G23" i="18"/>
  <c r="F23" i="18"/>
  <c r="N23" i="18"/>
  <c r="P23" i="18"/>
  <c r="O23" i="18"/>
  <c r="G22" i="17"/>
  <c r="Q22" i="17"/>
  <c r="I22" i="17"/>
  <c r="S22" i="17"/>
  <c r="R22" i="17"/>
  <c r="N22" i="17"/>
  <c r="P22" i="17" s="1"/>
  <c r="T21" i="17"/>
  <c r="H22" i="18"/>
  <c r="I22" i="18"/>
  <c r="Q22" i="18"/>
  <c r="R22" i="18" s="1"/>
  <c r="L23" i="17"/>
  <c r="M23" i="17" s="1"/>
  <c r="E23" i="17"/>
  <c r="O29" i="8" l="1"/>
  <c r="K28" i="18"/>
  <c r="K28" i="11"/>
  <c r="K28" i="9"/>
  <c r="O29" i="17"/>
  <c r="O29" i="10"/>
  <c r="N23" i="17"/>
  <c r="P23" i="17" s="1"/>
  <c r="G23" i="17"/>
  <c r="I23" i="17"/>
  <c r="S23" i="17"/>
  <c r="R23" i="17"/>
  <c r="Q23" i="17"/>
  <c r="L24" i="17"/>
  <c r="M24" i="17" s="1"/>
  <c r="E24" i="17"/>
  <c r="T22" i="17"/>
  <c r="U22" i="17" s="1"/>
  <c r="H23" i="18"/>
  <c r="I23" i="18"/>
  <c r="Q23" i="18"/>
  <c r="R23" i="18" s="1"/>
  <c r="C26" i="18"/>
  <c r="F21" i="16"/>
  <c r="U21" i="17"/>
  <c r="C25" i="17"/>
  <c r="J20" i="16"/>
  <c r="H20" i="16"/>
  <c r="L25" i="18"/>
  <c r="E25" i="18"/>
  <c r="P24" i="18"/>
  <c r="O24" i="18"/>
  <c r="M24" i="18"/>
  <c r="N24" i="18"/>
  <c r="G24" i="18"/>
  <c r="F24" i="18"/>
  <c r="O30" i="8" l="1"/>
  <c r="K29" i="11"/>
  <c r="K29" i="9"/>
  <c r="K29" i="18"/>
  <c r="O30" i="17"/>
  <c r="O30" i="10"/>
  <c r="Q24" i="18"/>
  <c r="R24" i="18" s="1"/>
  <c r="N25" i="18"/>
  <c r="O25" i="18"/>
  <c r="M25" i="18"/>
  <c r="P25" i="18"/>
  <c r="G25" i="18"/>
  <c r="F25" i="18"/>
  <c r="C26" i="17"/>
  <c r="H21" i="16"/>
  <c r="J21" i="16"/>
  <c r="E26" i="18"/>
  <c r="L26" i="18"/>
  <c r="I24" i="18"/>
  <c r="H24" i="18"/>
  <c r="S24" i="17"/>
  <c r="G24" i="17"/>
  <c r="I24" i="17"/>
  <c r="N24" i="17"/>
  <c r="P24" i="17" s="1"/>
  <c r="R24" i="17"/>
  <c r="Q24" i="17"/>
  <c r="L25" i="17"/>
  <c r="M25" i="17" s="1"/>
  <c r="E25" i="17"/>
  <c r="T23" i="17"/>
  <c r="U23" i="17" s="1"/>
  <c r="C27" i="18"/>
  <c r="B23" i="16"/>
  <c r="F22" i="16"/>
  <c r="O31" i="8" l="1"/>
  <c r="K30" i="11"/>
  <c r="K30" i="9"/>
  <c r="K30" i="18"/>
  <c r="O31" i="17"/>
  <c r="O31" i="10"/>
  <c r="T24" i="17"/>
  <c r="U24" i="17" s="1"/>
  <c r="C27" i="17"/>
  <c r="J22" i="16"/>
  <c r="H22" i="16"/>
  <c r="C28" i="18"/>
  <c r="B24" i="16"/>
  <c r="B25" i="16" s="1"/>
  <c r="F23" i="16"/>
  <c r="L27" i="18"/>
  <c r="E27" i="18"/>
  <c r="G26" i="18"/>
  <c r="O26" i="18"/>
  <c r="P26" i="18"/>
  <c r="N26" i="18"/>
  <c r="M26" i="18"/>
  <c r="F26" i="18"/>
  <c r="G25" i="17"/>
  <c r="N25" i="17"/>
  <c r="P25" i="17" s="1"/>
  <c r="S25" i="17"/>
  <c r="Q25" i="17"/>
  <c r="I25" i="17"/>
  <c r="R25" i="17"/>
  <c r="L26" i="17"/>
  <c r="M26" i="17" s="1"/>
  <c r="E26" i="17"/>
  <c r="Q25" i="18"/>
  <c r="R25" i="18" s="1"/>
  <c r="O32" i="8" l="1"/>
  <c r="K31" i="9"/>
  <c r="K31" i="11"/>
  <c r="K31" i="18"/>
  <c r="O32" i="17"/>
  <c r="O32" i="10"/>
  <c r="Q26" i="18"/>
  <c r="R26" i="18" s="1"/>
  <c r="P27" i="18"/>
  <c r="N27" i="18"/>
  <c r="M27" i="18"/>
  <c r="G27" i="18"/>
  <c r="F27" i="18"/>
  <c r="O27" i="18"/>
  <c r="S26" i="17"/>
  <c r="Q26" i="17"/>
  <c r="N26" i="17"/>
  <c r="P26" i="17" s="1"/>
  <c r="I26" i="17"/>
  <c r="G26" i="17"/>
  <c r="R26" i="17"/>
  <c r="C28" i="17"/>
  <c r="J23" i="16"/>
  <c r="H23" i="16"/>
  <c r="T25" i="17"/>
  <c r="U25" i="17" s="1"/>
  <c r="C29" i="18"/>
  <c r="F24" i="16"/>
  <c r="E28" i="18"/>
  <c r="L28" i="18"/>
  <c r="L27" i="17"/>
  <c r="M27" i="17" s="1"/>
  <c r="E27" i="17"/>
  <c r="O33" i="8" l="1"/>
  <c r="K32" i="9"/>
  <c r="K32" i="11"/>
  <c r="K32" i="18"/>
  <c r="O33" i="10"/>
  <c r="O33" i="17"/>
  <c r="E28" i="17"/>
  <c r="L28" i="17"/>
  <c r="M28" i="17" s="1"/>
  <c r="T26" i="17"/>
  <c r="U26" i="17" s="1"/>
  <c r="N27" i="17"/>
  <c r="P27" i="17" s="1"/>
  <c r="I27" i="17"/>
  <c r="S27" i="17"/>
  <c r="R27" i="17"/>
  <c r="Q27" i="17"/>
  <c r="G27" i="17"/>
  <c r="G28" i="18"/>
  <c r="P28" i="18"/>
  <c r="O28" i="18"/>
  <c r="N28" i="18"/>
  <c r="M28" i="18"/>
  <c r="F28" i="18"/>
  <c r="C30" i="18"/>
  <c r="B26" i="16"/>
  <c r="F25" i="16"/>
  <c r="C29" i="17"/>
  <c r="H24" i="16"/>
  <c r="J24" i="16"/>
  <c r="L29" i="18"/>
  <c r="E29" i="18"/>
  <c r="Q27" i="18"/>
  <c r="R27" i="18" s="1"/>
  <c r="D7" i="15"/>
  <c r="D6" i="15"/>
  <c r="D5" i="15"/>
  <c r="O34" i="8" l="1"/>
  <c r="K33" i="9"/>
  <c r="K33" i="18"/>
  <c r="K33" i="11"/>
  <c r="O34" i="10"/>
  <c r="O34" i="17"/>
  <c r="G28" i="17"/>
  <c r="I28" i="17"/>
  <c r="S28" i="17"/>
  <c r="R28" i="17"/>
  <c r="Q28" i="17"/>
  <c r="N28" i="17"/>
  <c r="P28" i="17" s="1"/>
  <c r="Q28" i="18"/>
  <c r="R28" i="18" s="1"/>
  <c r="P29" i="18"/>
  <c r="O29" i="18"/>
  <c r="F29" i="18"/>
  <c r="N29" i="18"/>
  <c r="M29" i="18"/>
  <c r="G29" i="18"/>
  <c r="L29" i="17"/>
  <c r="M29" i="17" s="1"/>
  <c r="E29" i="17"/>
  <c r="T27" i="17"/>
  <c r="U27" i="17" s="1"/>
  <c r="C30" i="17"/>
  <c r="J25" i="16"/>
  <c r="H25" i="16"/>
  <c r="C31" i="18"/>
  <c r="B27" i="16"/>
  <c r="B28" i="16" s="1"/>
  <c r="F26" i="16"/>
  <c r="L30" i="18"/>
  <c r="E30" i="18"/>
  <c r="B16" i="14"/>
  <c r="C16" i="14"/>
  <c r="C5" i="7"/>
  <c r="C4"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B5" i="7"/>
  <c r="B4" i="7"/>
  <c r="B5" i="5"/>
  <c r="B4" i="5"/>
  <c r="B33" i="5"/>
  <c r="F33" i="5" s="1"/>
  <c r="C38" i="10" s="1"/>
  <c r="O35" i="8" l="1"/>
  <c r="K34" i="9"/>
  <c r="K34" i="11"/>
  <c r="K34" i="18"/>
  <c r="O35" i="10"/>
  <c r="O35" i="17"/>
  <c r="Q29" i="18"/>
  <c r="R29" i="18" s="1"/>
  <c r="C32" i="18"/>
  <c r="F27" i="16"/>
  <c r="Q29" i="17"/>
  <c r="S29" i="17"/>
  <c r="R29" i="17"/>
  <c r="I29" i="17"/>
  <c r="G29" i="17"/>
  <c r="N29" i="17"/>
  <c r="P29" i="17" s="1"/>
  <c r="F30" i="18"/>
  <c r="P30" i="18"/>
  <c r="O30" i="18"/>
  <c r="N30" i="18"/>
  <c r="M30" i="18"/>
  <c r="G30" i="18"/>
  <c r="C31" i="17"/>
  <c r="H26" i="16"/>
  <c r="J26" i="16"/>
  <c r="L31" i="18"/>
  <c r="E31" i="18"/>
  <c r="T28" i="17"/>
  <c r="U28" i="17" s="1"/>
  <c r="E30" i="17"/>
  <c r="L30" i="17"/>
  <c r="M30" i="17" s="1"/>
  <c r="C38" i="11"/>
  <c r="M2" i="7"/>
  <c r="O36" i="8" l="1"/>
  <c r="K35" i="11"/>
  <c r="K35" i="9"/>
  <c r="K35" i="18"/>
  <c r="O36" i="10"/>
  <c r="O36" i="17"/>
  <c r="Q30" i="18"/>
  <c r="R30" i="18" s="1"/>
  <c r="C33" i="18"/>
  <c r="B29" i="16"/>
  <c r="F28" i="16"/>
  <c r="I30" i="17"/>
  <c r="G30" i="17"/>
  <c r="S30" i="17"/>
  <c r="R30" i="17"/>
  <c r="Q30" i="17"/>
  <c r="N30" i="17"/>
  <c r="P30" i="17" s="1"/>
  <c r="L31" i="17"/>
  <c r="M31" i="17" s="1"/>
  <c r="E31" i="17"/>
  <c r="L32" i="18"/>
  <c r="E32" i="18"/>
  <c r="T29" i="17"/>
  <c r="U29" i="17" s="1"/>
  <c r="O31" i="18"/>
  <c r="P31" i="18"/>
  <c r="N31" i="18"/>
  <c r="M31" i="18"/>
  <c r="F31" i="18"/>
  <c r="G31" i="18"/>
  <c r="C32" i="17"/>
  <c r="J27" i="16"/>
  <c r="H27" i="16"/>
  <c r="D38" i="15"/>
  <c r="B4" i="12" s="1"/>
  <c r="O37" i="8" l="1"/>
  <c r="K36" i="11"/>
  <c r="K36" i="9"/>
  <c r="K36" i="18"/>
  <c r="O37" i="17"/>
  <c r="O37" i="10"/>
  <c r="R31" i="17"/>
  <c r="S31" i="17"/>
  <c r="Q31" i="17"/>
  <c r="G31" i="17"/>
  <c r="I31" i="17"/>
  <c r="N31" i="17"/>
  <c r="P31" i="17" s="1"/>
  <c r="E32" i="17"/>
  <c r="L32" i="17"/>
  <c r="M32" i="17" s="1"/>
  <c r="T30" i="17"/>
  <c r="U30" i="17" s="1"/>
  <c r="Q31" i="18"/>
  <c r="R31" i="18" s="1"/>
  <c r="C33" i="17"/>
  <c r="J28" i="16"/>
  <c r="H28" i="16"/>
  <c r="C34" i="18"/>
  <c r="F29" i="16"/>
  <c r="B30" i="16"/>
  <c r="B31" i="16" s="1"/>
  <c r="N32" i="18"/>
  <c r="M32" i="18"/>
  <c r="F32" i="18"/>
  <c r="P32" i="18"/>
  <c r="O32" i="18"/>
  <c r="G32" i="18"/>
  <c r="E33" i="18"/>
  <c r="L33" i="18"/>
  <c r="D12" i="13"/>
  <c r="D9" i="13"/>
  <c r="D15" i="13"/>
  <c r="D17" i="13"/>
  <c r="D20" i="13"/>
  <c r="D23" i="13"/>
  <c r="D25" i="13"/>
  <c r="D28" i="13"/>
  <c r="D30" i="13"/>
  <c r="D35" i="13"/>
  <c r="C23" i="13"/>
  <c r="C38" i="13"/>
  <c r="C22" i="13"/>
  <c r="C37" i="13"/>
  <c r="C21" i="13"/>
  <c r="C34" i="13"/>
  <c r="C18" i="13"/>
  <c r="C15" i="13"/>
  <c r="C36" i="13"/>
  <c r="C20" i="13"/>
  <c r="C35" i="13"/>
  <c r="C19" i="13"/>
  <c r="C33" i="13"/>
  <c r="C17" i="13"/>
  <c r="C31" i="13"/>
  <c r="C30" i="13"/>
  <c r="C9" i="13"/>
  <c r="C24" i="13"/>
  <c r="C32" i="13"/>
  <c r="C16" i="13"/>
  <c r="C14" i="13"/>
  <c r="C26" i="13"/>
  <c r="C10" i="13"/>
  <c r="C25" i="13"/>
  <c r="C29" i="13"/>
  <c r="C13" i="13"/>
  <c r="C28" i="13"/>
  <c r="C12" i="13"/>
  <c r="C27" i="13"/>
  <c r="C11" i="13"/>
  <c r="F26" i="14"/>
  <c r="D33" i="13"/>
  <c r="E33" i="13" s="1"/>
  <c r="D31" i="13"/>
  <c r="D13" i="13"/>
  <c r="D21" i="13"/>
  <c r="D38" i="13"/>
  <c r="D29" i="13"/>
  <c r="D16" i="13"/>
  <c r="D24" i="13"/>
  <c r="D36" i="13"/>
  <c r="D11" i="13"/>
  <c r="D19" i="13"/>
  <c r="D27" i="13"/>
  <c r="D34" i="13"/>
  <c r="D14" i="13"/>
  <c r="D22" i="13"/>
  <c r="D32" i="13"/>
  <c r="D37" i="13"/>
  <c r="D10" i="13"/>
  <c r="D18" i="13"/>
  <c r="D26" i="13"/>
  <c r="H33" i="13" l="1"/>
  <c r="G33" i="13"/>
  <c r="E20" i="13"/>
  <c r="E17" i="13"/>
  <c r="E25" i="13"/>
  <c r="O38" i="8"/>
  <c r="K37" i="9"/>
  <c r="K37" i="11"/>
  <c r="K37" i="18"/>
  <c r="E29" i="13"/>
  <c r="E9" i="13"/>
  <c r="O38" i="17"/>
  <c r="O38" i="10"/>
  <c r="E33" i="17"/>
  <c r="L33" i="17"/>
  <c r="M33" i="17" s="1"/>
  <c r="T31" i="17"/>
  <c r="U31" i="17" s="1"/>
  <c r="L34" i="18"/>
  <c r="E34" i="18"/>
  <c r="S32" i="17"/>
  <c r="I32" i="17"/>
  <c r="G32" i="17"/>
  <c r="R32" i="17"/>
  <c r="N32" i="17"/>
  <c r="P32" i="17" s="1"/>
  <c r="Q32" i="17"/>
  <c r="C34" i="17"/>
  <c r="J29" i="16"/>
  <c r="H29" i="16"/>
  <c r="N33" i="18"/>
  <c r="P33" i="18"/>
  <c r="M33" i="18"/>
  <c r="G33" i="18"/>
  <c r="F33" i="18"/>
  <c r="O33" i="18"/>
  <c r="Q32" i="18"/>
  <c r="R32" i="18" s="1"/>
  <c r="C35" i="18"/>
  <c r="F30" i="16"/>
  <c r="E12" i="13"/>
  <c r="E31" i="13"/>
  <c r="E23" i="13"/>
  <c r="E15" i="13"/>
  <c r="E35" i="13"/>
  <c r="E28" i="13"/>
  <c r="E11" i="13"/>
  <c r="E22" i="13"/>
  <c r="E30" i="13"/>
  <c r="E24" i="13"/>
  <c r="E18" i="13"/>
  <c r="E16" i="13"/>
  <c r="E26" i="13"/>
  <c r="E10" i="13"/>
  <c r="E34" i="13"/>
  <c r="E19" i="13"/>
  <c r="E36" i="13"/>
  <c r="E37" i="13"/>
  <c r="E14" i="13"/>
  <c r="E21" i="13"/>
  <c r="E38" i="13"/>
  <c r="E13" i="13"/>
  <c r="E27" i="13"/>
  <c r="E32" i="13"/>
  <c r="G28" i="13" l="1"/>
  <c r="H28" i="13" s="1"/>
  <c r="G9" i="13"/>
  <c r="H9" i="13" s="1"/>
  <c r="G30" i="13"/>
  <c r="H30" i="13" s="1"/>
  <c r="G32" i="13"/>
  <c r="H32" i="13" s="1"/>
  <c r="G13" i="13"/>
  <c r="H13" i="13" s="1"/>
  <c r="H21" i="13"/>
  <c r="G21" i="13"/>
  <c r="G27" i="13"/>
  <c r="H27" i="13" s="1"/>
  <c r="G29" i="13"/>
  <c r="H29" i="13" s="1"/>
  <c r="K38" i="9"/>
  <c r="K38" i="18"/>
  <c r="K38" i="11"/>
  <c r="H14" i="13"/>
  <c r="G14" i="13"/>
  <c r="G36" i="13"/>
  <c r="H36" i="13" s="1"/>
  <c r="G25" i="13"/>
  <c r="H25" i="13" s="1"/>
  <c r="G22" i="13"/>
  <c r="H22" i="13" s="1"/>
  <c r="G35" i="13"/>
  <c r="H35" i="13" s="1"/>
  <c r="G31" i="13"/>
  <c r="H31" i="13" s="1"/>
  <c r="H10" i="13"/>
  <c r="G10" i="13"/>
  <c r="H17" i="13"/>
  <c r="G17" i="13"/>
  <c r="G11" i="13"/>
  <c r="H11" i="13" s="1"/>
  <c r="G12" i="13"/>
  <c r="H12" i="13" s="1"/>
  <c r="G34" i="13"/>
  <c r="H34" i="13" s="1"/>
  <c r="G26" i="13"/>
  <c r="H26" i="13" s="1"/>
  <c r="G20" i="13"/>
  <c r="H20" i="13" s="1"/>
  <c r="G24" i="13"/>
  <c r="H24" i="13" s="1"/>
  <c r="H38" i="13"/>
  <c r="G38" i="13"/>
  <c r="H15" i="13"/>
  <c r="G15" i="13"/>
  <c r="G23" i="13"/>
  <c r="H23" i="13" s="1"/>
  <c r="G37" i="13"/>
  <c r="H37" i="13" s="1"/>
  <c r="G19" i="13"/>
  <c r="H19" i="13" s="1"/>
  <c r="G16" i="13"/>
  <c r="H16" i="13" s="1"/>
  <c r="G18" i="13"/>
  <c r="H18" i="13" s="1"/>
  <c r="I33" i="17"/>
  <c r="S33" i="17"/>
  <c r="G33" i="17"/>
  <c r="Q33" i="17"/>
  <c r="N33" i="17"/>
  <c r="P33" i="17" s="1"/>
  <c r="R33" i="17"/>
  <c r="C35" i="17"/>
  <c r="J30" i="16"/>
  <c r="H30" i="16"/>
  <c r="E34" i="17"/>
  <c r="L34" i="17"/>
  <c r="M34" i="17" s="1"/>
  <c r="C36" i="18"/>
  <c r="F31" i="16"/>
  <c r="B32" i="16"/>
  <c r="T32" i="17"/>
  <c r="U32" i="17" s="1"/>
  <c r="E35" i="18"/>
  <c r="L35" i="18"/>
  <c r="F34" i="18"/>
  <c r="P34" i="18"/>
  <c r="G34" i="18"/>
  <c r="O34" i="18"/>
  <c r="N34" i="18"/>
  <c r="M34" i="18"/>
  <c r="Q33" i="18"/>
  <c r="R33" i="18" s="1"/>
  <c r="H39" i="13" l="1"/>
  <c r="C12" i="12" s="1"/>
  <c r="C37" i="18"/>
  <c r="B33" i="16"/>
  <c r="F32" i="16"/>
  <c r="C36" i="17"/>
  <c r="J31" i="16"/>
  <c r="H31" i="16"/>
  <c r="L36" i="18"/>
  <c r="E36" i="18"/>
  <c r="S34" i="17"/>
  <c r="N34" i="17"/>
  <c r="P34" i="17" s="1"/>
  <c r="R34" i="17"/>
  <c r="Q34" i="17"/>
  <c r="I34" i="17"/>
  <c r="G34" i="17"/>
  <c r="L35" i="17"/>
  <c r="M35" i="17" s="1"/>
  <c r="E35" i="17"/>
  <c r="Q34" i="18"/>
  <c r="R34" i="18" s="1"/>
  <c r="T33" i="17"/>
  <c r="U33" i="17" s="1"/>
  <c r="N35" i="18"/>
  <c r="P35" i="18"/>
  <c r="M35" i="18"/>
  <c r="F35" i="18"/>
  <c r="O35" i="18"/>
  <c r="G35" i="18"/>
  <c r="Q35" i="18" s="1"/>
  <c r="R35" i="18" s="1"/>
  <c r="F33" i="16" l="1"/>
  <c r="C38" i="18"/>
  <c r="L37" i="18"/>
  <c r="E37" i="18"/>
  <c r="T34" i="17"/>
  <c r="U34" i="17" s="1"/>
  <c r="I35" i="18"/>
  <c r="H35" i="18"/>
  <c r="G36" i="18"/>
  <c r="O36" i="18"/>
  <c r="M36" i="18"/>
  <c r="F36" i="18"/>
  <c r="N36" i="18"/>
  <c r="P36" i="18"/>
  <c r="L36" i="17"/>
  <c r="M36" i="17" s="1"/>
  <c r="E36" i="17"/>
  <c r="C37" i="17"/>
  <c r="J32" i="16"/>
  <c r="H32" i="16"/>
  <c r="S35" i="17"/>
  <c r="R35" i="17"/>
  <c r="Q35" i="17"/>
  <c r="N35" i="17"/>
  <c r="P35" i="17" s="1"/>
  <c r="I35" i="17"/>
  <c r="G35" i="17"/>
  <c r="B6" i="5"/>
  <c r="B7" i="5"/>
  <c r="B8" i="5"/>
  <c r="B9" i="5"/>
  <c r="B10" i="5"/>
  <c r="B11" i="5"/>
  <c r="B12" i="5"/>
  <c r="B13" i="5"/>
  <c r="B14" i="5"/>
  <c r="B15" i="5"/>
  <c r="B16" i="5"/>
  <c r="B17" i="5"/>
  <c r="B18" i="5"/>
  <c r="B19" i="5"/>
  <c r="B20" i="5"/>
  <c r="B21" i="5"/>
  <c r="B22" i="5"/>
  <c r="B23" i="5"/>
  <c r="B24" i="5"/>
  <c r="B25" i="5"/>
  <c r="B26" i="5"/>
  <c r="B27" i="5"/>
  <c r="B28" i="5"/>
  <c r="B29" i="5"/>
  <c r="B30" i="5"/>
  <c r="B31" i="5"/>
  <c r="B32" i="5"/>
  <c r="J3" i="5"/>
  <c r="J2" i="5"/>
  <c r="J33" i="5" s="1"/>
  <c r="H2" i="5"/>
  <c r="H33" i="5" s="1"/>
  <c r="R3" i="7"/>
  <c r="Q3" i="7"/>
  <c r="L37" i="17" l="1"/>
  <c r="M37" i="17" s="1"/>
  <c r="E37" i="17"/>
  <c r="Q36" i="18"/>
  <c r="R36" i="18" s="1"/>
  <c r="G37" i="18"/>
  <c r="N37" i="18"/>
  <c r="O37" i="18"/>
  <c r="M37" i="18"/>
  <c r="F37" i="18"/>
  <c r="P37" i="18"/>
  <c r="L38" i="18"/>
  <c r="L39" i="18" s="1"/>
  <c r="E38" i="18"/>
  <c r="I36" i="17"/>
  <c r="G36" i="17"/>
  <c r="R36" i="17"/>
  <c r="N36" i="17"/>
  <c r="P36" i="17" s="1"/>
  <c r="S36" i="17"/>
  <c r="Q36" i="17"/>
  <c r="I36" i="18"/>
  <c r="H36" i="18"/>
  <c r="T35" i="17"/>
  <c r="U35" i="17" s="1"/>
  <c r="C38" i="17"/>
  <c r="H33" i="16"/>
  <c r="J33" i="16"/>
  <c r="D24" i="10"/>
  <c r="D11" i="10"/>
  <c r="D27" i="10"/>
  <c r="D14" i="10"/>
  <c r="D19" i="10"/>
  <c r="D38" i="10"/>
  <c r="D9" i="10"/>
  <c r="D25" i="10"/>
  <c r="D23" i="10"/>
  <c r="D10" i="10"/>
  <c r="D26" i="10"/>
  <c r="D12" i="10"/>
  <c r="D28" i="10"/>
  <c r="D30" i="10"/>
  <c r="D13" i="10"/>
  <c r="D29" i="10"/>
  <c r="D15" i="10"/>
  <c r="D31" i="10"/>
  <c r="D34" i="10"/>
  <c r="D16" i="10"/>
  <c r="D32" i="10"/>
  <c r="D17" i="10"/>
  <c r="D33" i="10"/>
  <c r="D18" i="10"/>
  <c r="D35" i="10"/>
  <c r="D20" i="10"/>
  <c r="D36" i="10"/>
  <c r="D37" i="10"/>
  <c r="D22" i="10"/>
  <c r="D21" i="10"/>
  <c r="D24" i="11"/>
  <c r="D9" i="11"/>
  <c r="D25" i="11"/>
  <c r="D35" i="11"/>
  <c r="D10" i="11"/>
  <c r="D26" i="11"/>
  <c r="D11" i="11"/>
  <c r="D27" i="11"/>
  <c r="D12" i="11"/>
  <c r="D28" i="11"/>
  <c r="D13" i="11"/>
  <c r="D29" i="11"/>
  <c r="D30" i="11"/>
  <c r="D14" i="11"/>
  <c r="D15" i="11"/>
  <c r="D31" i="11"/>
  <c r="D16" i="11"/>
  <c r="D32" i="11"/>
  <c r="D17" i="11"/>
  <c r="D33" i="11"/>
  <c r="D34" i="11"/>
  <c r="D23" i="11"/>
  <c r="D18" i="11"/>
  <c r="D19" i="11"/>
  <c r="D20" i="11"/>
  <c r="D36" i="11"/>
  <c r="D38" i="11"/>
  <c r="D21" i="11"/>
  <c r="D37" i="11"/>
  <c r="D22" i="11"/>
  <c r="B6" i="6"/>
  <c r="Q2" i="7" s="1"/>
  <c r="E6" i="6"/>
  <c r="L2" i="7" s="1"/>
  <c r="P38" i="18" l="1"/>
  <c r="N38" i="18"/>
  <c r="G38" i="18"/>
  <c r="F38" i="18"/>
  <c r="M38" i="18"/>
  <c r="M39" i="18" s="1"/>
  <c r="O38" i="18"/>
  <c r="H37" i="18"/>
  <c r="I37" i="18"/>
  <c r="L38" i="17"/>
  <c r="E38" i="17"/>
  <c r="C39" i="17"/>
  <c r="T36" i="17"/>
  <c r="U36" i="17" s="1"/>
  <c r="Q37" i="18"/>
  <c r="R37" i="18" s="1"/>
  <c r="G37" i="17"/>
  <c r="N37" i="17"/>
  <c r="P37" i="17" s="1"/>
  <c r="I37" i="17"/>
  <c r="S37" i="17"/>
  <c r="R37" i="17"/>
  <c r="Q37" i="17"/>
  <c r="D9" i="9"/>
  <c r="D25" i="9"/>
  <c r="D10" i="9"/>
  <c r="D26" i="9"/>
  <c r="D11" i="9"/>
  <c r="D27" i="9"/>
  <c r="D12" i="9"/>
  <c r="D28" i="9"/>
  <c r="D15" i="9"/>
  <c r="D31" i="9"/>
  <c r="D18" i="9"/>
  <c r="D35" i="9"/>
  <c r="D24" i="9"/>
  <c r="D13" i="9"/>
  <c r="D29" i="9"/>
  <c r="D14" i="9"/>
  <c r="D30" i="9"/>
  <c r="D16" i="9"/>
  <c r="D32" i="9"/>
  <c r="D17" i="9"/>
  <c r="D33" i="9"/>
  <c r="D34" i="9"/>
  <c r="D19" i="9"/>
  <c r="D23" i="9"/>
  <c r="D20" i="9"/>
  <c r="D36" i="9"/>
  <c r="D21" i="9"/>
  <c r="D37" i="9"/>
  <c r="D22" i="9"/>
  <c r="D38" i="9"/>
  <c r="B9" i="7"/>
  <c r="B10" i="7" s="1"/>
  <c r="B8" i="7"/>
  <c r="H8" i="7" s="1"/>
  <c r="B7" i="7"/>
  <c r="H7" i="7" s="1"/>
  <c r="B6" i="7"/>
  <c r="H6" i="7" s="1"/>
  <c r="H5" i="7"/>
  <c r="H4" i="7"/>
  <c r="C9" i="9" s="1"/>
  <c r="M3" i="7"/>
  <c r="L3" i="7"/>
  <c r="I3" i="7"/>
  <c r="H3" i="7"/>
  <c r="F3" i="7"/>
  <c r="E3" i="7"/>
  <c r="F7" i="5"/>
  <c r="F6" i="5"/>
  <c r="F5" i="5"/>
  <c r="F4" i="5"/>
  <c r="H3" i="5"/>
  <c r="F3" i="5"/>
  <c r="D3" i="5"/>
  <c r="R38" i="17" l="1"/>
  <c r="G38" i="17"/>
  <c r="G39" i="17" s="1"/>
  <c r="I38" i="17"/>
  <c r="Q38" i="17"/>
  <c r="S38" i="17"/>
  <c r="H39" i="17"/>
  <c r="N38" i="17"/>
  <c r="E39" i="17"/>
  <c r="I38" i="18"/>
  <c r="H38" i="18"/>
  <c r="Q38" i="18"/>
  <c r="G39" i="18"/>
  <c r="M38" i="17"/>
  <c r="M39" i="17" s="1"/>
  <c r="L39" i="17"/>
  <c r="T37" i="17"/>
  <c r="U37" i="17" s="1"/>
  <c r="N39" i="18"/>
  <c r="C9" i="10"/>
  <c r="C9" i="11"/>
  <c r="C11" i="10"/>
  <c r="C11" i="11"/>
  <c r="C12" i="10"/>
  <c r="C12" i="11"/>
  <c r="C10" i="10"/>
  <c r="C10" i="11"/>
  <c r="C13" i="9"/>
  <c r="C10" i="9"/>
  <c r="C11" i="9"/>
  <c r="C12" i="9"/>
  <c r="J7" i="5"/>
  <c r="J4" i="5"/>
  <c r="J6" i="5"/>
  <c r="J5" i="5"/>
  <c r="Q4" i="7"/>
  <c r="Q7" i="7"/>
  <c r="Q6" i="7"/>
  <c r="Q8" i="7"/>
  <c r="Q5" i="7"/>
  <c r="I5" i="7"/>
  <c r="H10" i="7"/>
  <c r="B11" i="7"/>
  <c r="L6" i="7"/>
  <c r="I4" i="7"/>
  <c r="J4" i="7" s="1"/>
  <c r="C9" i="8" s="1"/>
  <c r="H9" i="7"/>
  <c r="C14" i="9" s="1"/>
  <c r="L4" i="7"/>
  <c r="L7" i="7"/>
  <c r="L5" i="7"/>
  <c r="L8" i="7"/>
  <c r="F9" i="5"/>
  <c r="F8" i="5"/>
  <c r="H7" i="5"/>
  <c r="H6" i="5"/>
  <c r="H4" i="5"/>
  <c r="H5" i="5"/>
  <c r="Q39" i="17" l="1"/>
  <c r="R38" i="18"/>
  <c r="R39" i="18" s="1"/>
  <c r="B11" i="12" s="1"/>
  <c r="Q39" i="18"/>
  <c r="G40" i="18" s="1"/>
  <c r="P38" i="17"/>
  <c r="P39" i="17" s="1"/>
  <c r="N39" i="17"/>
  <c r="I39" i="17"/>
  <c r="T38" i="17"/>
  <c r="F39" i="17"/>
  <c r="C13" i="10"/>
  <c r="L13" i="10" s="1"/>
  <c r="M13" i="10" s="1"/>
  <c r="C13" i="11"/>
  <c r="C14" i="10"/>
  <c r="C14" i="11"/>
  <c r="C15" i="9"/>
  <c r="L12" i="10"/>
  <c r="M12" i="10" s="1"/>
  <c r="E12" i="10"/>
  <c r="N12" i="10" s="1"/>
  <c r="L9" i="10"/>
  <c r="E9" i="10"/>
  <c r="N9" i="10" s="1"/>
  <c r="L10" i="10"/>
  <c r="M10" i="10" s="1"/>
  <c r="E10" i="10"/>
  <c r="N10" i="10" s="1"/>
  <c r="M5" i="7"/>
  <c r="N5" i="7" s="1"/>
  <c r="R5" i="7"/>
  <c r="S5" i="7" s="1"/>
  <c r="J5" i="7"/>
  <c r="L11" i="10"/>
  <c r="M11" i="10" s="1"/>
  <c r="E11" i="10"/>
  <c r="N11" i="10" s="1"/>
  <c r="M4" i="7"/>
  <c r="N4" i="7" s="1"/>
  <c r="O4" i="7" s="1"/>
  <c r="D9" i="8" s="1"/>
  <c r="E9" i="8" s="1"/>
  <c r="N9" i="8" s="1"/>
  <c r="R4" i="7"/>
  <c r="S4" i="7" s="1"/>
  <c r="T4" i="7" s="1"/>
  <c r="Q10" i="7"/>
  <c r="L10" i="7"/>
  <c r="L9" i="7"/>
  <c r="Q9" i="7"/>
  <c r="H8" i="5"/>
  <c r="J8" i="5"/>
  <c r="H9" i="5"/>
  <c r="J9" i="5"/>
  <c r="B12" i="7"/>
  <c r="H11" i="7"/>
  <c r="C16" i="9" s="1"/>
  <c r="I6" i="7"/>
  <c r="F11" i="5"/>
  <c r="F10" i="5"/>
  <c r="F12" i="5"/>
  <c r="N40" i="18" l="1"/>
  <c r="U38" i="17"/>
  <c r="U39" i="17" s="1"/>
  <c r="C10" i="12" s="1"/>
  <c r="T39" i="17"/>
  <c r="J40" i="17" s="1" a="1"/>
  <c r="J40" i="17" s="1"/>
  <c r="J41" i="17" s="1"/>
  <c r="L40" i="18"/>
  <c r="M40" i="18"/>
  <c r="Q40" i="18" s="1"/>
  <c r="E13" i="10"/>
  <c r="N13" i="10" s="1"/>
  <c r="P13" i="10" s="1"/>
  <c r="M9" i="10"/>
  <c r="C16" i="10"/>
  <c r="E16" i="10" s="1"/>
  <c r="N16" i="10" s="1"/>
  <c r="C16" i="11"/>
  <c r="C17" i="10"/>
  <c r="C17" i="11"/>
  <c r="C15" i="10"/>
  <c r="E15" i="10" s="1"/>
  <c r="N15" i="10" s="1"/>
  <c r="C15" i="11"/>
  <c r="L9" i="8"/>
  <c r="M9" i="8" s="1"/>
  <c r="C10" i="8"/>
  <c r="T5" i="7"/>
  <c r="O5" i="7"/>
  <c r="D10" i="8" s="1"/>
  <c r="L14" i="10"/>
  <c r="M14" i="10" s="1"/>
  <c r="E14" i="10"/>
  <c r="N14" i="10" s="1"/>
  <c r="M6" i="7"/>
  <c r="N6" i="7" s="1"/>
  <c r="R6" i="7"/>
  <c r="S6" i="7" s="1"/>
  <c r="J6" i="7"/>
  <c r="S9" i="8"/>
  <c r="R9" i="8"/>
  <c r="P9" i="8"/>
  <c r="G9" i="8"/>
  <c r="L9" i="11"/>
  <c r="E9" i="11"/>
  <c r="L10" i="11"/>
  <c r="E10" i="11"/>
  <c r="E13" i="11"/>
  <c r="L13" i="11"/>
  <c r="L11" i="11"/>
  <c r="E11" i="11"/>
  <c r="G10" i="10"/>
  <c r="R10" i="10"/>
  <c r="Q10" i="10"/>
  <c r="P10" i="10"/>
  <c r="S10" i="10"/>
  <c r="I10" i="10"/>
  <c r="S12" i="10"/>
  <c r="I12" i="10"/>
  <c r="P12" i="10"/>
  <c r="G12" i="10"/>
  <c r="R12" i="10"/>
  <c r="Q12" i="10"/>
  <c r="G11" i="10"/>
  <c r="S11" i="10"/>
  <c r="P11" i="10"/>
  <c r="R11" i="10"/>
  <c r="Q11" i="10"/>
  <c r="I11" i="10"/>
  <c r="S9" i="10"/>
  <c r="Q9" i="10"/>
  <c r="I9" i="10"/>
  <c r="R9" i="10"/>
  <c r="P9" i="10"/>
  <c r="G9" i="10"/>
  <c r="E12" i="11"/>
  <c r="L12" i="11"/>
  <c r="L12" i="9"/>
  <c r="E12" i="9"/>
  <c r="L9" i="9"/>
  <c r="E9" i="9"/>
  <c r="E11" i="9"/>
  <c r="L11" i="9"/>
  <c r="E13" i="9"/>
  <c r="L13" i="9"/>
  <c r="Q9" i="8"/>
  <c r="L10" i="9"/>
  <c r="E10" i="9"/>
  <c r="L11" i="7"/>
  <c r="Q11" i="7"/>
  <c r="H10" i="5"/>
  <c r="J10" i="5"/>
  <c r="H12" i="5"/>
  <c r="J12" i="5"/>
  <c r="H11" i="5"/>
  <c r="J11" i="5"/>
  <c r="I7" i="7"/>
  <c r="H12" i="7"/>
  <c r="B13" i="7"/>
  <c r="F13" i="5"/>
  <c r="G40" i="17" l="1"/>
  <c r="L16" i="10"/>
  <c r="M16" i="10" s="1"/>
  <c r="L15" i="10"/>
  <c r="M15" i="10" s="1"/>
  <c r="I13" i="10"/>
  <c r="Q13" i="10"/>
  <c r="R13" i="10"/>
  <c r="S13" i="10"/>
  <c r="P40" i="17"/>
  <c r="P41" i="17" s="1"/>
  <c r="G41" i="17"/>
  <c r="R40" i="17"/>
  <c r="R41" i="17" s="1"/>
  <c r="G13" i="10"/>
  <c r="C18" i="10"/>
  <c r="C18" i="11"/>
  <c r="L10" i="8"/>
  <c r="M10" i="8" s="1"/>
  <c r="C11" i="8"/>
  <c r="C17" i="9"/>
  <c r="I9" i="8"/>
  <c r="T6" i="7"/>
  <c r="O6" i="7"/>
  <c r="L17" i="10"/>
  <c r="E17" i="10"/>
  <c r="N17" i="10" s="1"/>
  <c r="M7" i="7"/>
  <c r="N7" i="7" s="1"/>
  <c r="R7" i="7"/>
  <c r="S7" i="7" s="1"/>
  <c r="J7" i="7"/>
  <c r="P14" i="10"/>
  <c r="S14" i="10"/>
  <c r="R14" i="10"/>
  <c r="Q14" i="10"/>
  <c r="I14" i="10"/>
  <c r="G14" i="10"/>
  <c r="P13" i="11"/>
  <c r="O13" i="11"/>
  <c r="G13" i="11"/>
  <c r="N13" i="11"/>
  <c r="M13" i="11"/>
  <c r="F13" i="11"/>
  <c r="U11" i="10"/>
  <c r="U10" i="10"/>
  <c r="L14" i="11"/>
  <c r="E14" i="11"/>
  <c r="F12" i="11"/>
  <c r="M12" i="11"/>
  <c r="O12" i="11"/>
  <c r="N12" i="11"/>
  <c r="P12" i="11"/>
  <c r="G12" i="11"/>
  <c r="S16" i="10"/>
  <c r="R16" i="10"/>
  <c r="I16" i="10"/>
  <c r="P16" i="10"/>
  <c r="Q16" i="10"/>
  <c r="G16" i="10"/>
  <c r="U12" i="10"/>
  <c r="L16" i="11"/>
  <c r="E16" i="11"/>
  <c r="N10" i="11"/>
  <c r="M10" i="11"/>
  <c r="P10" i="11"/>
  <c r="F10" i="11"/>
  <c r="G10" i="11"/>
  <c r="O10" i="11"/>
  <c r="O9" i="11"/>
  <c r="G9" i="11"/>
  <c r="M9" i="11"/>
  <c r="N9" i="11"/>
  <c r="P9" i="11"/>
  <c r="F9" i="11"/>
  <c r="U9" i="10"/>
  <c r="O11" i="11"/>
  <c r="P11" i="11"/>
  <c r="M11" i="11"/>
  <c r="G11" i="11"/>
  <c r="F11" i="11"/>
  <c r="N11" i="11"/>
  <c r="I15" i="10"/>
  <c r="P15" i="10"/>
  <c r="Q15" i="10"/>
  <c r="S15" i="10"/>
  <c r="R15" i="10"/>
  <c r="G15" i="10"/>
  <c r="U13" i="10"/>
  <c r="L15" i="11"/>
  <c r="E15" i="11"/>
  <c r="L15" i="9"/>
  <c r="E15" i="9"/>
  <c r="G9" i="9"/>
  <c r="O9" i="9"/>
  <c r="P9" i="9"/>
  <c r="N9" i="9"/>
  <c r="F9" i="9"/>
  <c r="M9" i="9"/>
  <c r="M10" i="9"/>
  <c r="N10" i="9"/>
  <c r="F10" i="9"/>
  <c r="P10" i="9"/>
  <c r="O10" i="9"/>
  <c r="G10" i="9"/>
  <c r="L14" i="9"/>
  <c r="E14" i="9"/>
  <c r="F11" i="9"/>
  <c r="N11" i="9"/>
  <c r="G11" i="9"/>
  <c r="O11" i="9"/>
  <c r="P11" i="9"/>
  <c r="M11" i="9"/>
  <c r="F12" i="9"/>
  <c r="P12" i="9"/>
  <c r="O12" i="9"/>
  <c r="N12" i="9"/>
  <c r="M12" i="9"/>
  <c r="G12" i="9"/>
  <c r="F13" i="9"/>
  <c r="N13" i="9"/>
  <c r="M13" i="9"/>
  <c r="G13" i="9"/>
  <c r="O13" i="9"/>
  <c r="P13" i="9"/>
  <c r="L12" i="7"/>
  <c r="Q12" i="7"/>
  <c r="H13" i="5"/>
  <c r="J13" i="5"/>
  <c r="B14" i="7"/>
  <c r="H13" i="7"/>
  <c r="C18" i="9" s="1"/>
  <c r="I8" i="7"/>
  <c r="F14" i="5"/>
  <c r="C19" i="10" l="1"/>
  <c r="C19" i="11"/>
  <c r="E10" i="8"/>
  <c r="R10" i="8" s="1"/>
  <c r="D11" i="8"/>
  <c r="L11" i="8"/>
  <c r="M11" i="8" s="1"/>
  <c r="C12" i="8"/>
  <c r="U9" i="8"/>
  <c r="Q10" i="8"/>
  <c r="I10" i="8"/>
  <c r="T7" i="7"/>
  <c r="M8" i="7"/>
  <c r="N8" i="7" s="1"/>
  <c r="R8" i="7"/>
  <c r="S8" i="7" s="1"/>
  <c r="J8" i="7"/>
  <c r="O7" i="7"/>
  <c r="Q12" i="11"/>
  <c r="R12" i="11" s="1"/>
  <c r="Q10" i="9"/>
  <c r="R10" i="9" s="1"/>
  <c r="I13" i="11"/>
  <c r="H13" i="11"/>
  <c r="Q13" i="11"/>
  <c r="R13" i="11" s="1"/>
  <c r="P16" i="11"/>
  <c r="O16" i="11"/>
  <c r="F16" i="11"/>
  <c r="N16" i="11"/>
  <c r="M16" i="11"/>
  <c r="G16" i="11"/>
  <c r="I11" i="11"/>
  <c r="H11" i="11"/>
  <c r="U14" i="10"/>
  <c r="Q11" i="11"/>
  <c r="R11" i="11" s="1"/>
  <c r="I12" i="11"/>
  <c r="H12" i="11"/>
  <c r="Q10" i="11"/>
  <c r="R10" i="11" s="1"/>
  <c r="L17" i="11"/>
  <c r="E17" i="11"/>
  <c r="P14" i="11"/>
  <c r="O14" i="11"/>
  <c r="F14" i="11"/>
  <c r="N14" i="11"/>
  <c r="M14" i="11"/>
  <c r="G14" i="11"/>
  <c r="Q17" i="10"/>
  <c r="P17" i="10"/>
  <c r="S17" i="10"/>
  <c r="R17" i="10"/>
  <c r="G17" i="10"/>
  <c r="I17" i="10"/>
  <c r="I10" i="11"/>
  <c r="H10" i="11"/>
  <c r="M17" i="10"/>
  <c r="Q9" i="11"/>
  <c r="R9" i="11" s="1"/>
  <c r="N15" i="11"/>
  <c r="O15" i="11"/>
  <c r="M15" i="11"/>
  <c r="G15" i="11"/>
  <c r="P15" i="11"/>
  <c r="F15" i="11"/>
  <c r="I9" i="11"/>
  <c r="H9" i="11"/>
  <c r="U16" i="10"/>
  <c r="I10" i="9"/>
  <c r="H10" i="9"/>
  <c r="Q11" i="9"/>
  <c r="R11" i="9" s="1"/>
  <c r="I11" i="9"/>
  <c r="H11" i="9"/>
  <c r="Q13" i="9"/>
  <c r="R13" i="9" s="1"/>
  <c r="H9" i="9"/>
  <c r="I9" i="9"/>
  <c r="I12" i="9"/>
  <c r="H12" i="9"/>
  <c r="Q9" i="9"/>
  <c r="R9" i="9" s="1"/>
  <c r="I13" i="9"/>
  <c r="H13" i="9"/>
  <c r="F14" i="9"/>
  <c r="G14" i="9"/>
  <c r="M14" i="9"/>
  <c r="N14" i="9"/>
  <c r="P14" i="9"/>
  <c r="O14" i="9"/>
  <c r="M15" i="9"/>
  <c r="G15" i="9"/>
  <c r="N15" i="9"/>
  <c r="F15" i="9"/>
  <c r="O15" i="9"/>
  <c r="P15" i="9"/>
  <c r="Q12" i="9"/>
  <c r="R12" i="9" s="1"/>
  <c r="L13" i="7"/>
  <c r="Q13" i="7"/>
  <c r="H14" i="5"/>
  <c r="J14" i="5"/>
  <c r="I9" i="7"/>
  <c r="B15" i="7"/>
  <c r="H14" i="7"/>
  <c r="C19" i="9" s="1"/>
  <c r="F15" i="5"/>
  <c r="C20" i="10" l="1"/>
  <c r="C20" i="11"/>
  <c r="L12" i="8"/>
  <c r="M12" i="8" s="1"/>
  <c r="C13" i="8"/>
  <c r="E11" i="8"/>
  <c r="N11" i="8" s="1"/>
  <c r="P11" i="8" s="1"/>
  <c r="D12" i="8"/>
  <c r="N10" i="8"/>
  <c r="G10" i="8"/>
  <c r="S10" i="8"/>
  <c r="T8" i="7"/>
  <c r="Q16" i="11"/>
  <c r="R16" i="11" s="1"/>
  <c r="E18" i="10"/>
  <c r="N18" i="10" s="1"/>
  <c r="L18" i="10"/>
  <c r="E19" i="10"/>
  <c r="N19" i="10" s="1"/>
  <c r="L19" i="10"/>
  <c r="M19" i="10" s="1"/>
  <c r="O8" i="7"/>
  <c r="M9" i="7"/>
  <c r="N9" i="7" s="1"/>
  <c r="R9" i="7"/>
  <c r="S9" i="7" s="1"/>
  <c r="J9" i="7"/>
  <c r="Q15" i="9"/>
  <c r="R15" i="9" s="1"/>
  <c r="M17" i="11"/>
  <c r="G17" i="11"/>
  <c r="F17" i="11"/>
  <c r="O17" i="11"/>
  <c r="N17" i="11"/>
  <c r="P17" i="11"/>
  <c r="I16" i="11"/>
  <c r="H16" i="11"/>
  <c r="Q14" i="11"/>
  <c r="R14" i="11" s="1"/>
  <c r="U15" i="10"/>
  <c r="I15" i="11"/>
  <c r="H15" i="11"/>
  <c r="I14" i="11"/>
  <c r="H14" i="11"/>
  <c r="U17" i="10"/>
  <c r="Q15" i="11"/>
  <c r="R15" i="11" s="1"/>
  <c r="Q14" i="9"/>
  <c r="R14" i="9" s="1"/>
  <c r="H14" i="9"/>
  <c r="I14" i="9"/>
  <c r="L16" i="9"/>
  <c r="E16" i="9"/>
  <c r="L17" i="9"/>
  <c r="E17" i="9"/>
  <c r="H15" i="9"/>
  <c r="I15" i="9"/>
  <c r="L14" i="7"/>
  <c r="Q14" i="7"/>
  <c r="H15" i="5"/>
  <c r="J15" i="5"/>
  <c r="B16" i="7"/>
  <c r="H15" i="7"/>
  <c r="I10" i="7"/>
  <c r="F16" i="5"/>
  <c r="C21" i="10" l="1"/>
  <c r="C21" i="11"/>
  <c r="G11" i="8"/>
  <c r="R11" i="8"/>
  <c r="S11" i="8"/>
  <c r="I11" i="8"/>
  <c r="L13" i="8"/>
  <c r="M13" i="8" s="1"/>
  <c r="C14" i="8"/>
  <c r="O9" i="7"/>
  <c r="D14" i="8" s="1"/>
  <c r="P10" i="8"/>
  <c r="U10" i="8" s="1"/>
  <c r="C20" i="9"/>
  <c r="E12" i="8"/>
  <c r="N12" i="8" s="1"/>
  <c r="P12" i="8" s="1"/>
  <c r="D13" i="8"/>
  <c r="E13" i="8" s="1"/>
  <c r="Q11" i="8"/>
  <c r="T9" i="7"/>
  <c r="L20" i="10"/>
  <c r="E20" i="10"/>
  <c r="N20" i="10" s="1"/>
  <c r="M10" i="7"/>
  <c r="N10" i="7" s="1"/>
  <c r="R10" i="7"/>
  <c r="S10" i="7" s="1"/>
  <c r="J10" i="7"/>
  <c r="H17" i="11"/>
  <c r="I17" i="11"/>
  <c r="Q17" i="11"/>
  <c r="R17" i="11" s="1"/>
  <c r="P18" i="10"/>
  <c r="R18" i="10"/>
  <c r="S18" i="10"/>
  <c r="I18" i="10"/>
  <c r="G18" i="10"/>
  <c r="Q18" i="10"/>
  <c r="L18" i="11"/>
  <c r="E18" i="11"/>
  <c r="M18" i="10"/>
  <c r="M20" i="10"/>
  <c r="I19" i="10"/>
  <c r="P19" i="10"/>
  <c r="Q19" i="10"/>
  <c r="S19" i="10"/>
  <c r="R19" i="10"/>
  <c r="G19" i="10"/>
  <c r="L19" i="11"/>
  <c r="E19" i="11"/>
  <c r="F16" i="9"/>
  <c r="G16" i="9"/>
  <c r="N16" i="9"/>
  <c r="O16" i="9"/>
  <c r="P16" i="9"/>
  <c r="M16" i="9"/>
  <c r="L18" i="9"/>
  <c r="E18" i="9"/>
  <c r="G17" i="9"/>
  <c r="N17" i="9"/>
  <c r="F17" i="9"/>
  <c r="P17" i="9"/>
  <c r="O17" i="9"/>
  <c r="M17" i="9"/>
  <c r="L15" i="7"/>
  <c r="Q15" i="7"/>
  <c r="H16" i="5"/>
  <c r="J16" i="5"/>
  <c r="I11" i="7"/>
  <c r="B17" i="7"/>
  <c r="H16" i="7"/>
  <c r="C21" i="9" s="1"/>
  <c r="F17" i="5"/>
  <c r="C22" i="10" l="1"/>
  <c r="C22" i="11"/>
  <c r="U11" i="8"/>
  <c r="L14" i="8"/>
  <c r="M14" i="8" s="1"/>
  <c r="C15" i="8"/>
  <c r="I12" i="8"/>
  <c r="N13" i="8"/>
  <c r="P13" i="8" s="1"/>
  <c r="Q12" i="8"/>
  <c r="R12" i="8"/>
  <c r="G12" i="8"/>
  <c r="S12" i="8"/>
  <c r="R13" i="8"/>
  <c r="G13" i="8"/>
  <c r="Q13" i="8"/>
  <c r="S13" i="8"/>
  <c r="I13" i="8"/>
  <c r="E21" i="10"/>
  <c r="N21" i="10" s="1"/>
  <c r="L21" i="10"/>
  <c r="M21" i="10" s="1"/>
  <c r="O10" i="7"/>
  <c r="M11" i="7"/>
  <c r="N11" i="7" s="1"/>
  <c r="R11" i="7"/>
  <c r="S11" i="7" s="1"/>
  <c r="J11" i="7"/>
  <c r="T10" i="7"/>
  <c r="L20" i="11"/>
  <c r="E20" i="11"/>
  <c r="G20" i="10"/>
  <c r="P20" i="10"/>
  <c r="Q20" i="10"/>
  <c r="R20" i="10"/>
  <c r="I20" i="10"/>
  <c r="S20" i="10"/>
  <c r="U19" i="10"/>
  <c r="M19" i="11"/>
  <c r="G19" i="11"/>
  <c r="F19" i="11"/>
  <c r="N19" i="11"/>
  <c r="O19" i="11"/>
  <c r="P19" i="11"/>
  <c r="F18" i="11"/>
  <c r="N18" i="11"/>
  <c r="O18" i="11"/>
  <c r="P18" i="11"/>
  <c r="M18" i="11"/>
  <c r="G18" i="11"/>
  <c r="I17" i="9"/>
  <c r="H17" i="9"/>
  <c r="Q17" i="9"/>
  <c r="R17" i="9" s="1"/>
  <c r="Q16" i="9"/>
  <c r="G18" i="9"/>
  <c r="M18" i="9"/>
  <c r="F18" i="9"/>
  <c r="P18" i="9"/>
  <c r="O18" i="9"/>
  <c r="N18" i="9"/>
  <c r="I16" i="9"/>
  <c r="H16" i="9"/>
  <c r="L16" i="7"/>
  <c r="Q16" i="7"/>
  <c r="H17" i="5"/>
  <c r="J17" i="5"/>
  <c r="H17" i="7"/>
  <c r="C22" i="9" s="1"/>
  <c r="B18" i="7"/>
  <c r="I12" i="7"/>
  <c r="F18" i="5"/>
  <c r="C23" i="10" l="1"/>
  <c r="C23" i="11"/>
  <c r="U13" i="8"/>
  <c r="U12" i="8"/>
  <c r="L15" i="8"/>
  <c r="M15" i="8" s="1"/>
  <c r="C16" i="8"/>
  <c r="E14" i="8"/>
  <c r="N14" i="8" s="1"/>
  <c r="P14" i="8" s="1"/>
  <c r="D15" i="8"/>
  <c r="T11" i="7"/>
  <c r="M12" i="7"/>
  <c r="N12" i="7" s="1"/>
  <c r="R12" i="7"/>
  <c r="S12" i="7" s="1"/>
  <c r="J12" i="7"/>
  <c r="I14" i="8"/>
  <c r="R14" i="8"/>
  <c r="L22" i="10"/>
  <c r="E22" i="10"/>
  <c r="N22" i="10" s="1"/>
  <c r="O11" i="7"/>
  <c r="U18" i="10"/>
  <c r="Q19" i="11"/>
  <c r="R19" i="11" s="1"/>
  <c r="I18" i="11"/>
  <c r="H18" i="11"/>
  <c r="L21" i="11"/>
  <c r="E21" i="11"/>
  <c r="P20" i="11"/>
  <c r="G20" i="11"/>
  <c r="O20" i="11"/>
  <c r="F20" i="11"/>
  <c r="M20" i="11"/>
  <c r="N20" i="11"/>
  <c r="G21" i="10"/>
  <c r="R21" i="10"/>
  <c r="S21" i="10"/>
  <c r="Q21" i="10"/>
  <c r="I21" i="10"/>
  <c r="P21" i="10"/>
  <c r="H19" i="11"/>
  <c r="I19" i="11"/>
  <c r="Q18" i="11"/>
  <c r="L19" i="9"/>
  <c r="E19" i="9"/>
  <c r="I18" i="9"/>
  <c r="H18" i="9"/>
  <c r="L20" i="9"/>
  <c r="E20" i="9"/>
  <c r="R16" i="9"/>
  <c r="Q18" i="9"/>
  <c r="R18" i="9" s="1"/>
  <c r="L17" i="7"/>
  <c r="Q17" i="7"/>
  <c r="H18" i="5"/>
  <c r="J18" i="5"/>
  <c r="I13" i="7"/>
  <c r="B19" i="7"/>
  <c r="H18" i="7"/>
  <c r="C23" i="9" s="1"/>
  <c r="F19" i="5"/>
  <c r="S14" i="8" l="1"/>
  <c r="Q14" i="8"/>
  <c r="C24" i="10"/>
  <c r="C24" i="11"/>
  <c r="L16" i="8"/>
  <c r="M16" i="8" s="1"/>
  <c r="C17" i="8"/>
  <c r="E15" i="8"/>
  <c r="N15" i="8" s="1"/>
  <c r="D16" i="8"/>
  <c r="G14" i="8"/>
  <c r="T12" i="7"/>
  <c r="P15" i="8"/>
  <c r="Q15" i="8"/>
  <c r="R15" i="8"/>
  <c r="S15" i="8"/>
  <c r="M13" i="7"/>
  <c r="N13" i="7" s="1"/>
  <c r="R13" i="7"/>
  <c r="S13" i="7" s="1"/>
  <c r="J13" i="7"/>
  <c r="E23" i="10"/>
  <c r="N23" i="10" s="1"/>
  <c r="L23" i="10"/>
  <c r="M23" i="10" s="1"/>
  <c r="O12" i="7"/>
  <c r="U20" i="10"/>
  <c r="Q20" i="11"/>
  <c r="R20" i="11" s="1"/>
  <c r="I20" i="11"/>
  <c r="H20" i="11"/>
  <c r="R18" i="11"/>
  <c r="G22" i="10"/>
  <c r="Q22" i="10"/>
  <c r="R22" i="10"/>
  <c r="P22" i="10"/>
  <c r="S22" i="10"/>
  <c r="I22" i="10"/>
  <c r="U21" i="10"/>
  <c r="M22" i="10"/>
  <c r="L22" i="11"/>
  <c r="E22" i="11"/>
  <c r="O21" i="11"/>
  <c r="N21" i="11"/>
  <c r="F21" i="11"/>
  <c r="M21" i="11"/>
  <c r="G21" i="11"/>
  <c r="P21" i="11"/>
  <c r="L21" i="9"/>
  <c r="E21" i="9"/>
  <c r="N19" i="9"/>
  <c r="O19" i="9"/>
  <c r="G19" i="9"/>
  <c r="F19" i="9"/>
  <c r="M19" i="9"/>
  <c r="P19" i="9"/>
  <c r="F20" i="9"/>
  <c r="N20" i="9"/>
  <c r="O20" i="9"/>
  <c r="P20" i="9"/>
  <c r="G20" i="9"/>
  <c r="M20" i="9"/>
  <c r="L18" i="7"/>
  <c r="Q18" i="7"/>
  <c r="H19" i="5"/>
  <c r="J19" i="5"/>
  <c r="H19" i="7"/>
  <c r="C24" i="9" s="1"/>
  <c r="B20" i="7"/>
  <c r="I14" i="7"/>
  <c r="F20" i="5"/>
  <c r="I15" i="8" l="1"/>
  <c r="G15" i="8"/>
  <c r="C25" i="10"/>
  <c r="C25" i="11"/>
  <c r="U14" i="8"/>
  <c r="L17" i="8"/>
  <c r="M17" i="8" s="1"/>
  <c r="C18" i="8"/>
  <c r="E16" i="8"/>
  <c r="N16" i="8" s="1"/>
  <c r="P16" i="8" s="1"/>
  <c r="D17" i="8"/>
  <c r="T13" i="7"/>
  <c r="O13" i="7"/>
  <c r="E24" i="10"/>
  <c r="N24" i="10" s="1"/>
  <c r="L24" i="10"/>
  <c r="M24" i="10" s="1"/>
  <c r="M14" i="7"/>
  <c r="N14" i="7" s="1"/>
  <c r="R14" i="7"/>
  <c r="S14" i="7" s="1"/>
  <c r="J14" i="7"/>
  <c r="I21" i="11"/>
  <c r="H21" i="11"/>
  <c r="Q21" i="11"/>
  <c r="Q23" i="10"/>
  <c r="R23" i="10"/>
  <c r="P23" i="10"/>
  <c r="I23" i="10"/>
  <c r="S23" i="10"/>
  <c r="G23" i="10"/>
  <c r="L23" i="11"/>
  <c r="E23" i="11"/>
  <c r="U22" i="10"/>
  <c r="G22" i="11"/>
  <c r="F22" i="11"/>
  <c r="P22" i="11"/>
  <c r="O22" i="11"/>
  <c r="N22" i="11"/>
  <c r="M22" i="11"/>
  <c r="I19" i="9"/>
  <c r="H19" i="9"/>
  <c r="Q20" i="9"/>
  <c r="R20" i="9" s="1"/>
  <c r="Q19" i="9"/>
  <c r="F21" i="9"/>
  <c r="M21" i="9"/>
  <c r="P21" i="9"/>
  <c r="O21" i="9"/>
  <c r="N21" i="9"/>
  <c r="G21" i="9"/>
  <c r="I20" i="9"/>
  <c r="H20" i="9"/>
  <c r="L22" i="9"/>
  <c r="E22" i="9"/>
  <c r="L19" i="7"/>
  <c r="Q19" i="7"/>
  <c r="H20" i="5"/>
  <c r="J20" i="5"/>
  <c r="I15" i="7"/>
  <c r="H20" i="7"/>
  <c r="C25" i="9" s="1"/>
  <c r="B21" i="7"/>
  <c r="F21" i="5"/>
  <c r="U15" i="8" l="1"/>
  <c r="C26" i="10"/>
  <c r="C26" i="11"/>
  <c r="R16" i="8"/>
  <c r="I16" i="8"/>
  <c r="L18" i="8"/>
  <c r="M18" i="8" s="1"/>
  <c r="C19" i="8"/>
  <c r="E17" i="8"/>
  <c r="N17" i="8" s="1"/>
  <c r="P17" i="8" s="1"/>
  <c r="D18" i="8"/>
  <c r="S16" i="8"/>
  <c r="Q16" i="8"/>
  <c r="G16" i="8"/>
  <c r="T14" i="7"/>
  <c r="O14" i="7"/>
  <c r="L25" i="10"/>
  <c r="M25" i="10" s="1"/>
  <c r="E25" i="10"/>
  <c r="N25" i="10" s="1"/>
  <c r="M15" i="7"/>
  <c r="N15" i="7" s="1"/>
  <c r="R15" i="7"/>
  <c r="S15" i="7" s="1"/>
  <c r="J15" i="7"/>
  <c r="Q21" i="9"/>
  <c r="R21" i="9" s="1"/>
  <c r="U23" i="10"/>
  <c r="R21" i="11"/>
  <c r="L24" i="11"/>
  <c r="E24" i="11"/>
  <c r="F23" i="11"/>
  <c r="G23" i="11"/>
  <c r="O23" i="11"/>
  <c r="M23" i="11"/>
  <c r="P23" i="11"/>
  <c r="N23" i="11"/>
  <c r="I22" i="11"/>
  <c r="H22" i="11"/>
  <c r="Q22" i="11"/>
  <c r="R22" i="11" s="1"/>
  <c r="I24" i="10"/>
  <c r="G24" i="10"/>
  <c r="R24" i="10"/>
  <c r="Q24" i="10"/>
  <c r="S24" i="10"/>
  <c r="P24" i="10"/>
  <c r="H21" i="9"/>
  <c r="I21" i="9"/>
  <c r="R19" i="9"/>
  <c r="L23" i="9"/>
  <c r="E23" i="9"/>
  <c r="G22" i="9"/>
  <c r="N22" i="9"/>
  <c r="P22" i="9"/>
  <c r="O22" i="9"/>
  <c r="M22" i="9"/>
  <c r="F22" i="9"/>
  <c r="L20" i="7"/>
  <c r="Q20" i="7"/>
  <c r="H21" i="5"/>
  <c r="J21" i="5"/>
  <c r="B22" i="7"/>
  <c r="H21" i="7"/>
  <c r="C26" i="9" s="1"/>
  <c r="I16" i="7"/>
  <c r="F22" i="5"/>
  <c r="O15" i="7" l="1"/>
  <c r="U16" i="8"/>
  <c r="C27" i="10"/>
  <c r="C27" i="11"/>
  <c r="G17" i="8"/>
  <c r="R17" i="8"/>
  <c r="Q17" i="8"/>
  <c r="E18" i="8"/>
  <c r="N18" i="8" s="1"/>
  <c r="P18" i="8" s="1"/>
  <c r="D19" i="8"/>
  <c r="I17" i="8"/>
  <c r="L19" i="8"/>
  <c r="M19" i="8" s="1"/>
  <c r="C20" i="8"/>
  <c r="S17" i="8"/>
  <c r="L26" i="10"/>
  <c r="M26" i="10" s="1"/>
  <c r="E26" i="10"/>
  <c r="N26" i="10" s="1"/>
  <c r="T15" i="7"/>
  <c r="M16" i="7"/>
  <c r="N16" i="7" s="1"/>
  <c r="R16" i="7"/>
  <c r="S16" i="7" s="1"/>
  <c r="J16" i="7"/>
  <c r="G25" i="10"/>
  <c r="S25" i="10"/>
  <c r="I25" i="10"/>
  <c r="P25" i="10"/>
  <c r="Q25" i="10"/>
  <c r="R25" i="10"/>
  <c r="I23" i="11"/>
  <c r="H23" i="11"/>
  <c r="L25" i="11"/>
  <c r="E25" i="11"/>
  <c r="M24" i="11"/>
  <c r="N24" i="11"/>
  <c r="O24" i="11"/>
  <c r="G24" i="11"/>
  <c r="P24" i="11"/>
  <c r="F24" i="11"/>
  <c r="U24" i="10"/>
  <c r="Q23" i="11"/>
  <c r="I22" i="9"/>
  <c r="H22" i="9"/>
  <c r="G23" i="9"/>
  <c r="M23" i="9"/>
  <c r="N23" i="9"/>
  <c r="P23" i="9"/>
  <c r="O23" i="9"/>
  <c r="F23" i="9"/>
  <c r="Q22" i="9"/>
  <c r="R22" i="9" s="1"/>
  <c r="E24" i="9"/>
  <c r="L24" i="9"/>
  <c r="L21" i="7"/>
  <c r="Q21" i="7"/>
  <c r="H22" i="5"/>
  <c r="J22" i="5"/>
  <c r="I17" i="7"/>
  <c r="B23" i="7"/>
  <c r="H22" i="7"/>
  <c r="C27" i="9" s="1"/>
  <c r="F23" i="5"/>
  <c r="R18" i="8" l="1"/>
  <c r="I18" i="8"/>
  <c r="U17" i="8"/>
  <c r="S18" i="8"/>
  <c r="C28" i="10"/>
  <c r="C28" i="11"/>
  <c r="Q18" i="8"/>
  <c r="G18" i="8"/>
  <c r="L20" i="8"/>
  <c r="M20" i="8" s="1"/>
  <c r="C21" i="8"/>
  <c r="E19" i="8"/>
  <c r="N19" i="8" s="1"/>
  <c r="P19" i="8" s="1"/>
  <c r="D20" i="8"/>
  <c r="T16" i="7"/>
  <c r="O16" i="7"/>
  <c r="L27" i="10"/>
  <c r="M27" i="10" s="1"/>
  <c r="E27" i="10"/>
  <c r="N27" i="10" s="1"/>
  <c r="M17" i="7"/>
  <c r="N17" i="7" s="1"/>
  <c r="R17" i="7"/>
  <c r="S17" i="7" s="1"/>
  <c r="J17" i="7"/>
  <c r="R26" i="10"/>
  <c r="I26" i="10"/>
  <c r="S26" i="10"/>
  <c r="Q26" i="10"/>
  <c r="P26" i="10"/>
  <c r="G26" i="10"/>
  <c r="R23" i="11"/>
  <c r="L26" i="11"/>
  <c r="E26" i="11"/>
  <c r="U25" i="10"/>
  <c r="Q24" i="11"/>
  <c r="R24" i="11" s="1"/>
  <c r="M25" i="11"/>
  <c r="P25" i="11"/>
  <c r="F25" i="11"/>
  <c r="N25" i="11"/>
  <c r="G25" i="11"/>
  <c r="O25" i="11"/>
  <c r="H24" i="11"/>
  <c r="I24" i="11"/>
  <c r="N24" i="9"/>
  <c r="P24" i="9"/>
  <c r="G24" i="9"/>
  <c r="F24" i="9"/>
  <c r="O24" i="9"/>
  <c r="M24" i="9"/>
  <c r="L25" i="9"/>
  <c r="E25" i="9"/>
  <c r="I23" i="9"/>
  <c r="H23" i="9"/>
  <c r="Q23" i="9"/>
  <c r="R23" i="9" s="1"/>
  <c r="L22" i="7"/>
  <c r="Q22" i="7"/>
  <c r="H23" i="5"/>
  <c r="J23" i="5"/>
  <c r="B24" i="7"/>
  <c r="H23" i="7"/>
  <c r="C28" i="9" s="1"/>
  <c r="I18" i="7"/>
  <c r="F24" i="5"/>
  <c r="U18" i="8" l="1"/>
  <c r="S19" i="8"/>
  <c r="G19" i="8"/>
  <c r="C29" i="10"/>
  <c r="C29" i="11"/>
  <c r="I19" i="8"/>
  <c r="Q19" i="8"/>
  <c r="R19" i="8"/>
  <c r="E20" i="8"/>
  <c r="N20" i="8" s="1"/>
  <c r="P20" i="8" s="1"/>
  <c r="D21" i="8"/>
  <c r="O17" i="7"/>
  <c r="L21" i="8"/>
  <c r="M21" i="8" s="1"/>
  <c r="C22" i="8"/>
  <c r="L28" i="10"/>
  <c r="M28" i="10" s="1"/>
  <c r="E28" i="10"/>
  <c r="N28" i="10" s="1"/>
  <c r="M18" i="7"/>
  <c r="N18" i="7" s="1"/>
  <c r="R18" i="7"/>
  <c r="S18" i="7" s="1"/>
  <c r="J18" i="7"/>
  <c r="T17" i="7"/>
  <c r="Q25" i="11"/>
  <c r="R25" i="11" s="1"/>
  <c r="P27" i="10"/>
  <c r="Q27" i="10"/>
  <c r="G27" i="10"/>
  <c r="S27" i="10"/>
  <c r="R27" i="10"/>
  <c r="I27" i="10"/>
  <c r="U26" i="10"/>
  <c r="L27" i="11"/>
  <c r="E27" i="11"/>
  <c r="N26" i="11"/>
  <c r="M26" i="11"/>
  <c r="P26" i="11"/>
  <c r="G26" i="11"/>
  <c r="F26" i="11"/>
  <c r="O26" i="11"/>
  <c r="G25" i="9"/>
  <c r="M25" i="9"/>
  <c r="F25" i="9"/>
  <c r="N25" i="9"/>
  <c r="P25" i="9"/>
  <c r="O25" i="9"/>
  <c r="L26" i="9"/>
  <c r="E26" i="9"/>
  <c r="H24" i="9"/>
  <c r="I24" i="9"/>
  <c r="Q24" i="9"/>
  <c r="R24" i="9" s="1"/>
  <c r="L23" i="7"/>
  <c r="Q23" i="7"/>
  <c r="H24" i="5"/>
  <c r="J24" i="5"/>
  <c r="I19" i="7"/>
  <c r="H24" i="7"/>
  <c r="C29" i="9" s="1"/>
  <c r="B25" i="7"/>
  <c r="F25" i="5"/>
  <c r="R20" i="8" l="1"/>
  <c r="I20" i="8"/>
  <c r="G20" i="8"/>
  <c r="Q20" i="8"/>
  <c r="S20" i="8"/>
  <c r="C30" i="10"/>
  <c r="C30" i="11"/>
  <c r="U19" i="8"/>
  <c r="L22" i="8"/>
  <c r="M22" i="8" s="1"/>
  <c r="C23" i="8"/>
  <c r="O18" i="7"/>
  <c r="E21" i="8"/>
  <c r="D22" i="8"/>
  <c r="T18" i="7"/>
  <c r="L29" i="10"/>
  <c r="M29" i="10" s="1"/>
  <c r="E29" i="10"/>
  <c r="N29" i="10" s="1"/>
  <c r="M19" i="7"/>
  <c r="N19" i="7" s="1"/>
  <c r="R19" i="7"/>
  <c r="S19" i="7" s="1"/>
  <c r="J19" i="7"/>
  <c r="Q26" i="11"/>
  <c r="R26" i="11" s="1"/>
  <c r="G28" i="10"/>
  <c r="S28" i="10"/>
  <c r="Q28" i="10"/>
  <c r="I28" i="10"/>
  <c r="P28" i="10"/>
  <c r="R28" i="10"/>
  <c r="U27" i="10"/>
  <c r="N27" i="11"/>
  <c r="M27" i="11"/>
  <c r="G27" i="11"/>
  <c r="F27" i="11"/>
  <c r="P27" i="11"/>
  <c r="O27" i="11"/>
  <c r="L28" i="11"/>
  <c r="E28" i="11"/>
  <c r="O26" i="9"/>
  <c r="G26" i="9"/>
  <c r="N26" i="9"/>
  <c r="M26" i="9"/>
  <c r="F26" i="9"/>
  <c r="P26" i="9"/>
  <c r="Q25" i="9"/>
  <c r="R25" i="9" s="1"/>
  <c r="L27" i="9"/>
  <c r="E27" i="9"/>
  <c r="L24" i="7"/>
  <c r="Q24" i="7"/>
  <c r="H25" i="5"/>
  <c r="J25" i="5"/>
  <c r="B26" i="7"/>
  <c r="H25" i="7"/>
  <c r="C30" i="9" s="1"/>
  <c r="I20" i="7"/>
  <c r="F26" i="5"/>
  <c r="U20" i="8" l="1"/>
  <c r="C31" i="10"/>
  <c r="C31" i="11"/>
  <c r="L23" i="8"/>
  <c r="M23" i="8" s="1"/>
  <c r="C24" i="8"/>
  <c r="E22" i="8"/>
  <c r="D23" i="8"/>
  <c r="N21" i="8"/>
  <c r="P21" i="8" s="1"/>
  <c r="G21" i="8"/>
  <c r="I21" i="8"/>
  <c r="S21" i="8"/>
  <c r="R21" i="8"/>
  <c r="Q21" i="8"/>
  <c r="T19" i="7"/>
  <c r="O19" i="7"/>
  <c r="L30" i="10"/>
  <c r="E30" i="10"/>
  <c r="N30" i="10" s="1"/>
  <c r="M20" i="7"/>
  <c r="N20" i="7" s="1"/>
  <c r="R20" i="7"/>
  <c r="S20" i="7" s="1"/>
  <c r="J20" i="7"/>
  <c r="U28" i="10"/>
  <c r="M30" i="10"/>
  <c r="G29" i="10"/>
  <c r="P29" i="10"/>
  <c r="R29" i="10"/>
  <c r="Q29" i="10"/>
  <c r="I29" i="10"/>
  <c r="S29" i="10"/>
  <c r="N28" i="11"/>
  <c r="P28" i="11"/>
  <c r="G28" i="11"/>
  <c r="F28" i="11"/>
  <c r="M28" i="11"/>
  <c r="O28" i="11"/>
  <c r="Q27" i="11"/>
  <c r="R27" i="11" s="1"/>
  <c r="L29" i="11"/>
  <c r="E29" i="11"/>
  <c r="G27" i="9"/>
  <c r="F27" i="9"/>
  <c r="O27" i="9"/>
  <c r="P27" i="9"/>
  <c r="M27" i="9"/>
  <c r="N27" i="9"/>
  <c r="Q26" i="9"/>
  <c r="R26" i="9" s="1"/>
  <c r="L28" i="9"/>
  <c r="E28" i="9"/>
  <c r="L25" i="7"/>
  <c r="Q25" i="7"/>
  <c r="H26" i="5"/>
  <c r="J26" i="5"/>
  <c r="I21" i="7"/>
  <c r="H26" i="7"/>
  <c r="C31" i="9" s="1"/>
  <c r="B27" i="7"/>
  <c r="F27" i="5"/>
  <c r="C32" i="10" l="1"/>
  <c r="C32" i="11"/>
  <c r="E23" i="8"/>
  <c r="N23" i="8" s="1"/>
  <c r="P23" i="8" s="1"/>
  <c r="D24" i="8"/>
  <c r="N22" i="8"/>
  <c r="P22" i="8" s="1"/>
  <c r="Q22" i="8"/>
  <c r="G22" i="8"/>
  <c r="I22" i="8"/>
  <c r="R22" i="8"/>
  <c r="S22" i="8"/>
  <c r="U21" i="8"/>
  <c r="L24" i="8"/>
  <c r="M24" i="8" s="1"/>
  <c r="C25" i="8"/>
  <c r="T20" i="7"/>
  <c r="M21" i="7"/>
  <c r="N21" i="7" s="1"/>
  <c r="R21" i="7"/>
  <c r="S21" i="7" s="1"/>
  <c r="J21" i="7"/>
  <c r="L31" i="10"/>
  <c r="E31" i="10"/>
  <c r="N31" i="10" s="1"/>
  <c r="Q23" i="8"/>
  <c r="S23" i="8"/>
  <c r="R23" i="8"/>
  <c r="G23" i="8"/>
  <c r="I23" i="8"/>
  <c r="O20" i="7"/>
  <c r="M29" i="11"/>
  <c r="G29" i="11"/>
  <c r="F29" i="11"/>
  <c r="O29" i="11"/>
  <c r="P29" i="11"/>
  <c r="N29" i="11"/>
  <c r="Q28" i="11"/>
  <c r="R28" i="11" s="1"/>
  <c r="U29" i="10"/>
  <c r="L30" i="11"/>
  <c r="E30" i="11"/>
  <c r="M31" i="10"/>
  <c r="Q30" i="10"/>
  <c r="P30" i="10"/>
  <c r="I30" i="10"/>
  <c r="R30" i="10"/>
  <c r="G30" i="10"/>
  <c r="S30" i="10"/>
  <c r="F28" i="9"/>
  <c r="P28" i="9"/>
  <c r="G28" i="9"/>
  <c r="O28" i="9"/>
  <c r="N28" i="9"/>
  <c r="M28" i="9"/>
  <c r="Q27" i="9"/>
  <c r="R27" i="9" s="1"/>
  <c r="L29" i="9"/>
  <c r="E29" i="9"/>
  <c r="L26" i="7"/>
  <c r="Q26" i="7"/>
  <c r="H27" i="5"/>
  <c r="J27" i="5"/>
  <c r="B28" i="7"/>
  <c r="H27" i="7"/>
  <c r="C32" i="9" s="1"/>
  <c r="I22" i="7"/>
  <c r="F28" i="5"/>
  <c r="C33" i="10" l="1"/>
  <c r="C33" i="11"/>
  <c r="E24" i="8"/>
  <c r="N24" i="8" s="1"/>
  <c r="D25" i="8"/>
  <c r="U22" i="8"/>
  <c r="L25" i="8"/>
  <c r="M25" i="8" s="1"/>
  <c r="C26" i="8"/>
  <c r="U23" i="8"/>
  <c r="P24" i="8"/>
  <c r="S24" i="8"/>
  <c r="R24" i="8"/>
  <c r="Q24" i="8"/>
  <c r="I24" i="8"/>
  <c r="L32" i="10"/>
  <c r="M32" i="10" s="1"/>
  <c r="E32" i="10"/>
  <c r="N32" i="10" s="1"/>
  <c r="T21" i="7"/>
  <c r="M22" i="7"/>
  <c r="N22" i="7" s="1"/>
  <c r="R22" i="7"/>
  <c r="S22" i="7" s="1"/>
  <c r="J22" i="7"/>
  <c r="O21" i="7"/>
  <c r="P30" i="11"/>
  <c r="G30" i="11"/>
  <c r="F30" i="11"/>
  <c r="O30" i="11"/>
  <c r="M30" i="11"/>
  <c r="N30" i="11"/>
  <c r="L31" i="11"/>
  <c r="E31" i="11"/>
  <c r="U30" i="10"/>
  <c r="I31" i="10"/>
  <c r="S31" i="10"/>
  <c r="G31" i="10"/>
  <c r="R31" i="10"/>
  <c r="Q31" i="10"/>
  <c r="P31" i="10"/>
  <c r="Q29" i="11"/>
  <c r="R29" i="11" s="1"/>
  <c r="L30" i="9"/>
  <c r="E30" i="9"/>
  <c r="M29" i="9"/>
  <c r="O29" i="9"/>
  <c r="N29" i="9"/>
  <c r="P29" i="9"/>
  <c r="G29" i="9"/>
  <c r="F29" i="9"/>
  <c r="Q28" i="9"/>
  <c r="R28" i="9" s="1"/>
  <c r="L27" i="7"/>
  <c r="Q27" i="7"/>
  <c r="H28" i="5"/>
  <c r="J28" i="5"/>
  <c r="I23" i="7"/>
  <c r="H28" i="7"/>
  <c r="C33" i="9" s="1"/>
  <c r="B29" i="7"/>
  <c r="F29" i="5"/>
  <c r="G24" i="8" l="1"/>
  <c r="C34" i="10"/>
  <c r="C34" i="11"/>
  <c r="E25" i="8"/>
  <c r="N25" i="8" s="1"/>
  <c r="P25" i="8" s="1"/>
  <c r="D26" i="8"/>
  <c r="L26" i="8"/>
  <c r="M26" i="8" s="1"/>
  <c r="C27" i="8"/>
  <c r="O22" i="7"/>
  <c r="D27" i="8" s="1"/>
  <c r="T22" i="7"/>
  <c r="E26" i="8"/>
  <c r="G26" i="8" s="1"/>
  <c r="I26" i="8"/>
  <c r="S26" i="8"/>
  <c r="R26" i="8"/>
  <c r="M23" i="7"/>
  <c r="N23" i="7" s="1"/>
  <c r="R23" i="7"/>
  <c r="S23" i="7" s="1"/>
  <c r="J23" i="7"/>
  <c r="L33" i="10"/>
  <c r="M33" i="10" s="1"/>
  <c r="E33" i="10"/>
  <c r="N33" i="10" s="1"/>
  <c r="Q29" i="9"/>
  <c r="R29" i="9" s="1"/>
  <c r="L32" i="11"/>
  <c r="E32" i="11"/>
  <c r="P32" i="10"/>
  <c r="I32" i="10"/>
  <c r="Q32" i="10"/>
  <c r="R32" i="10"/>
  <c r="G32" i="10"/>
  <c r="S32" i="10"/>
  <c r="Q30" i="11"/>
  <c r="R30" i="11" s="1"/>
  <c r="O31" i="11"/>
  <c r="N31" i="11"/>
  <c r="M31" i="11"/>
  <c r="G31" i="11"/>
  <c r="F31" i="11"/>
  <c r="P31" i="11"/>
  <c r="U31" i="10"/>
  <c r="L31" i="9"/>
  <c r="E31" i="9"/>
  <c r="N30" i="9"/>
  <c r="F30" i="9"/>
  <c r="G30" i="9"/>
  <c r="O30" i="9"/>
  <c r="P30" i="9"/>
  <c r="M30" i="9"/>
  <c r="L28" i="7"/>
  <c r="Q28" i="7"/>
  <c r="H29" i="5"/>
  <c r="J29" i="5"/>
  <c r="B30" i="7"/>
  <c r="H29" i="7"/>
  <c r="C34" i="9" s="1"/>
  <c r="I24" i="7"/>
  <c r="F30" i="5"/>
  <c r="U24" i="8" l="1"/>
  <c r="R25" i="8"/>
  <c r="Q25" i="8"/>
  <c r="I25" i="8"/>
  <c r="S25" i="8"/>
  <c r="G25" i="8"/>
  <c r="C35" i="10"/>
  <c r="C35" i="11"/>
  <c r="L27" i="8"/>
  <c r="M27" i="8" s="1"/>
  <c r="C28" i="8"/>
  <c r="N26" i="8"/>
  <c r="P26" i="8" s="1"/>
  <c r="Q26" i="8"/>
  <c r="T23" i="7"/>
  <c r="O23" i="7"/>
  <c r="L34" i="10"/>
  <c r="M34" i="10" s="1"/>
  <c r="E34" i="10"/>
  <c r="N34" i="10" s="1"/>
  <c r="M24" i="7"/>
  <c r="N24" i="7" s="1"/>
  <c r="R24" i="7"/>
  <c r="S24" i="7" s="1"/>
  <c r="J24" i="7"/>
  <c r="Q31" i="11"/>
  <c r="R31" i="11" s="1"/>
  <c r="R33" i="10"/>
  <c r="S33" i="10"/>
  <c r="G33" i="10"/>
  <c r="I33" i="10"/>
  <c r="P33" i="10"/>
  <c r="Q33" i="10"/>
  <c r="U32" i="10"/>
  <c r="L33" i="11"/>
  <c r="E33" i="11"/>
  <c r="P32" i="11"/>
  <c r="M32" i="11"/>
  <c r="O32" i="11"/>
  <c r="G32" i="11"/>
  <c r="F32" i="11"/>
  <c r="N32" i="11"/>
  <c r="Q30" i="9"/>
  <c r="R30" i="9" s="1"/>
  <c r="N31" i="9"/>
  <c r="M31" i="9"/>
  <c r="P31" i="9"/>
  <c r="G31" i="9"/>
  <c r="F31" i="9"/>
  <c r="O31" i="9"/>
  <c r="L32" i="9"/>
  <c r="E32" i="9"/>
  <c r="L29" i="7"/>
  <c r="Q29" i="7"/>
  <c r="H30" i="5"/>
  <c r="J30" i="5"/>
  <c r="I25" i="7"/>
  <c r="B31" i="7"/>
  <c r="H30" i="7"/>
  <c r="C35" i="9" s="1"/>
  <c r="F31" i="5"/>
  <c r="U25" i="8" l="1"/>
  <c r="C36" i="10"/>
  <c r="C36" i="11"/>
  <c r="U26" i="8"/>
  <c r="E27" i="8"/>
  <c r="N27" i="8" s="1"/>
  <c r="D28" i="8"/>
  <c r="L28" i="8"/>
  <c r="M28" i="8" s="1"/>
  <c r="C29" i="8"/>
  <c r="T24" i="7"/>
  <c r="M25" i="7"/>
  <c r="N25" i="7" s="1"/>
  <c r="R25" i="7"/>
  <c r="S25" i="7" s="1"/>
  <c r="J25" i="7"/>
  <c r="O24" i="7"/>
  <c r="L35" i="10"/>
  <c r="M35" i="10" s="1"/>
  <c r="E35" i="10"/>
  <c r="N35" i="10" s="1"/>
  <c r="P27" i="8"/>
  <c r="Q31" i="9"/>
  <c r="R31" i="9" s="1"/>
  <c r="Q32" i="11"/>
  <c r="R32" i="11" s="1"/>
  <c r="N33" i="11"/>
  <c r="M33" i="11"/>
  <c r="G33" i="11"/>
  <c r="F33" i="11"/>
  <c r="P33" i="11"/>
  <c r="O33" i="11"/>
  <c r="U33" i="10"/>
  <c r="Q34" i="10"/>
  <c r="P34" i="10"/>
  <c r="I34" i="10"/>
  <c r="G34" i="10"/>
  <c r="S34" i="10"/>
  <c r="R34" i="10"/>
  <c r="L34" i="11"/>
  <c r="E34" i="11"/>
  <c r="P32" i="9"/>
  <c r="N32" i="9"/>
  <c r="M32" i="9"/>
  <c r="O32" i="9"/>
  <c r="G32" i="9"/>
  <c r="F32" i="9"/>
  <c r="L33" i="9"/>
  <c r="E33" i="9"/>
  <c r="L30" i="7"/>
  <c r="Q30" i="7"/>
  <c r="H31" i="5"/>
  <c r="J31" i="5"/>
  <c r="B32" i="7"/>
  <c r="H31" i="7"/>
  <c r="C36" i="9" s="1"/>
  <c r="I26" i="7"/>
  <c r="F32" i="5"/>
  <c r="S27" i="8" l="1"/>
  <c r="G27" i="8"/>
  <c r="C37" i="10"/>
  <c r="C37" i="11"/>
  <c r="Q27" i="8"/>
  <c r="R27" i="8"/>
  <c r="I27" i="8"/>
  <c r="L29" i="8"/>
  <c r="M29" i="8" s="1"/>
  <c r="C30" i="8"/>
  <c r="E28" i="8"/>
  <c r="N28" i="8" s="1"/>
  <c r="P28" i="8" s="1"/>
  <c r="D29" i="8"/>
  <c r="M26" i="7"/>
  <c r="N26" i="7" s="1"/>
  <c r="R26" i="7"/>
  <c r="S26" i="7" s="1"/>
  <c r="J26" i="7"/>
  <c r="L36" i="10"/>
  <c r="M36" i="10" s="1"/>
  <c r="E36" i="10"/>
  <c r="N36" i="10" s="1"/>
  <c r="T25" i="7"/>
  <c r="O25" i="7"/>
  <c r="Q32" i="9"/>
  <c r="R32" i="9" s="1"/>
  <c r="U34" i="10"/>
  <c r="L35" i="11"/>
  <c r="E35" i="11"/>
  <c r="R35" i="10"/>
  <c r="I35" i="10"/>
  <c r="S35" i="10"/>
  <c r="G35" i="10"/>
  <c r="Q35" i="10"/>
  <c r="P35" i="10"/>
  <c r="Q33" i="11"/>
  <c r="R33" i="11" s="1"/>
  <c r="O34" i="11"/>
  <c r="G34" i="11"/>
  <c r="M34" i="11"/>
  <c r="P34" i="11"/>
  <c r="N34" i="11"/>
  <c r="F34" i="11"/>
  <c r="P33" i="9"/>
  <c r="G33" i="9"/>
  <c r="F33" i="9"/>
  <c r="M33" i="9"/>
  <c r="N33" i="9"/>
  <c r="O33" i="9"/>
  <c r="L34" i="9"/>
  <c r="E34" i="9"/>
  <c r="L31" i="7"/>
  <c r="Q31" i="7"/>
  <c r="H32" i="5"/>
  <c r="J32" i="5"/>
  <c r="I27" i="7"/>
  <c r="B33" i="7"/>
  <c r="H32" i="7"/>
  <c r="C37" i="9" s="1"/>
  <c r="U27" i="8" l="1"/>
  <c r="R28" i="8"/>
  <c r="S28" i="8"/>
  <c r="I28" i="8"/>
  <c r="Q28" i="8"/>
  <c r="G28" i="8"/>
  <c r="L30" i="8"/>
  <c r="M30" i="8" s="1"/>
  <c r="C31" i="8"/>
  <c r="E29" i="8"/>
  <c r="N29" i="8" s="1"/>
  <c r="P29" i="8" s="1"/>
  <c r="D30" i="8"/>
  <c r="T26" i="7"/>
  <c r="L37" i="10"/>
  <c r="M37" i="10" s="1"/>
  <c r="E37" i="10"/>
  <c r="N37" i="10" s="1"/>
  <c r="O26" i="7"/>
  <c r="M27" i="7"/>
  <c r="N27" i="7" s="1"/>
  <c r="R27" i="7"/>
  <c r="S27" i="7" s="1"/>
  <c r="J27" i="7"/>
  <c r="P35" i="11"/>
  <c r="O35" i="11"/>
  <c r="N35" i="11"/>
  <c r="M35" i="11"/>
  <c r="G35" i="11"/>
  <c r="Q35" i="11" s="1"/>
  <c r="R35" i="11" s="1"/>
  <c r="F35" i="11"/>
  <c r="U35" i="10"/>
  <c r="L36" i="11"/>
  <c r="E36" i="11"/>
  <c r="Q34" i="11"/>
  <c r="R34" i="11" s="1"/>
  <c r="P36" i="10"/>
  <c r="G36" i="10"/>
  <c r="Q36" i="10"/>
  <c r="R36" i="10"/>
  <c r="I36" i="10"/>
  <c r="S36" i="10"/>
  <c r="O34" i="9"/>
  <c r="N34" i="9"/>
  <c r="F34" i="9"/>
  <c r="P34" i="9"/>
  <c r="M34" i="9"/>
  <c r="G34" i="9"/>
  <c r="Q33" i="9"/>
  <c r="R33" i="9" s="1"/>
  <c r="L35" i="9"/>
  <c r="E35" i="9"/>
  <c r="L32" i="7"/>
  <c r="Q32" i="7"/>
  <c r="H33" i="7"/>
  <c r="C38" i="9" s="1"/>
  <c r="I28" i="7"/>
  <c r="U28" i="8" l="1"/>
  <c r="Q29" i="8"/>
  <c r="R29" i="8"/>
  <c r="G29" i="8"/>
  <c r="L31" i="8"/>
  <c r="M31" i="8" s="1"/>
  <c r="C32" i="8"/>
  <c r="E30" i="8"/>
  <c r="N30" i="8" s="1"/>
  <c r="D31" i="8"/>
  <c r="I29" i="8"/>
  <c r="S29" i="8"/>
  <c r="T27" i="7"/>
  <c r="O27" i="7"/>
  <c r="P30" i="8"/>
  <c r="S30" i="8"/>
  <c r="L38" i="10"/>
  <c r="E38" i="10"/>
  <c r="N38" i="10" s="1"/>
  <c r="N39" i="10" s="1"/>
  <c r="M28" i="7"/>
  <c r="N28" i="7" s="1"/>
  <c r="R28" i="7"/>
  <c r="S28" i="7" s="1"/>
  <c r="J28" i="7"/>
  <c r="Q34" i="9"/>
  <c r="R34" i="9" s="1"/>
  <c r="U36" i="10"/>
  <c r="Q37" i="10"/>
  <c r="S37" i="10"/>
  <c r="P37" i="10"/>
  <c r="I37" i="10"/>
  <c r="R37" i="10"/>
  <c r="G37" i="10"/>
  <c r="P36" i="11"/>
  <c r="O36" i="11"/>
  <c r="N36" i="11"/>
  <c r="M36" i="11"/>
  <c r="G36" i="11"/>
  <c r="F36" i="11"/>
  <c r="L37" i="11"/>
  <c r="E37" i="11"/>
  <c r="I35" i="11"/>
  <c r="H35" i="11"/>
  <c r="P35" i="9"/>
  <c r="O35" i="9"/>
  <c r="N35" i="9"/>
  <c r="M35" i="9"/>
  <c r="G35" i="9"/>
  <c r="F35" i="9"/>
  <c r="L36" i="9"/>
  <c r="E36" i="9"/>
  <c r="L33" i="7"/>
  <c r="Q33" i="7"/>
  <c r="I29" i="7"/>
  <c r="I30" i="8" l="1"/>
  <c r="M38" i="10"/>
  <c r="M39" i="10" s="1"/>
  <c r="L39" i="10"/>
  <c r="R30" i="8"/>
  <c r="G30" i="8"/>
  <c r="U29" i="8"/>
  <c r="Q30" i="8"/>
  <c r="E31" i="8"/>
  <c r="N31" i="8" s="1"/>
  <c r="P31" i="8" s="1"/>
  <c r="D32" i="8"/>
  <c r="L32" i="8"/>
  <c r="M32" i="8" s="1"/>
  <c r="C33" i="8"/>
  <c r="U30" i="8"/>
  <c r="T28" i="7"/>
  <c r="M29" i="7"/>
  <c r="N29" i="7" s="1"/>
  <c r="R29" i="7"/>
  <c r="S29" i="7" s="1"/>
  <c r="J29" i="7"/>
  <c r="Q36" i="11"/>
  <c r="R36" i="11" s="1"/>
  <c r="O28" i="7"/>
  <c r="Q35" i="9"/>
  <c r="R35" i="9" s="1"/>
  <c r="H36" i="11"/>
  <c r="I36" i="11"/>
  <c r="C39" i="10"/>
  <c r="U37" i="10"/>
  <c r="O37" i="11"/>
  <c r="N37" i="11"/>
  <c r="P37" i="11"/>
  <c r="M37" i="11"/>
  <c r="G37" i="11"/>
  <c r="Q37" i="11" s="1"/>
  <c r="R37" i="11" s="1"/>
  <c r="F37" i="11"/>
  <c r="G38" i="10"/>
  <c r="I38" i="10"/>
  <c r="S38" i="10"/>
  <c r="R38" i="10"/>
  <c r="Q38" i="10"/>
  <c r="P38" i="10"/>
  <c r="L38" i="11"/>
  <c r="E38" i="11"/>
  <c r="F36" i="9"/>
  <c r="G36" i="9"/>
  <c r="M36" i="9"/>
  <c r="P36" i="9"/>
  <c r="O36" i="9"/>
  <c r="N36" i="9"/>
  <c r="I35" i="9"/>
  <c r="H35" i="9"/>
  <c r="E37" i="9"/>
  <c r="L37" i="9"/>
  <c r="I30" i="7"/>
  <c r="I39" i="10" l="1"/>
  <c r="S31" i="8"/>
  <c r="R31" i="8"/>
  <c r="Q31" i="8"/>
  <c r="G31" i="8"/>
  <c r="I31" i="8"/>
  <c r="L33" i="8"/>
  <c r="M33" i="8" s="1"/>
  <c r="C34" i="8"/>
  <c r="E32" i="8"/>
  <c r="N32" i="8" s="1"/>
  <c r="P32" i="8" s="1"/>
  <c r="D33" i="8"/>
  <c r="T29" i="7"/>
  <c r="G32" i="8"/>
  <c r="M30" i="7"/>
  <c r="N30" i="7" s="1"/>
  <c r="R30" i="7"/>
  <c r="S30" i="7" s="1"/>
  <c r="J30" i="7"/>
  <c r="O29" i="7"/>
  <c r="L39" i="11"/>
  <c r="I37" i="11"/>
  <c r="H37" i="11"/>
  <c r="M38" i="11"/>
  <c r="O38" i="11"/>
  <c r="F38" i="11"/>
  <c r="P38" i="11"/>
  <c r="G38" i="11"/>
  <c r="N38" i="11"/>
  <c r="U38" i="10"/>
  <c r="P39" i="10"/>
  <c r="G39" i="10"/>
  <c r="H39" i="10"/>
  <c r="E39" i="10"/>
  <c r="L38" i="9"/>
  <c r="E38" i="9"/>
  <c r="O37" i="9"/>
  <c r="F37" i="9"/>
  <c r="G37" i="9"/>
  <c r="P37" i="9"/>
  <c r="M37" i="9"/>
  <c r="N37" i="9"/>
  <c r="Q36" i="9"/>
  <c r="R36" i="9" s="1"/>
  <c r="H36" i="9"/>
  <c r="I36" i="9"/>
  <c r="I31" i="7"/>
  <c r="Q32" i="8" l="1"/>
  <c r="U31" i="8"/>
  <c r="S32" i="8"/>
  <c r="I32" i="8"/>
  <c r="R32" i="8"/>
  <c r="E33" i="8"/>
  <c r="N33" i="8" s="1"/>
  <c r="P33" i="8" s="1"/>
  <c r="D34" i="8"/>
  <c r="L34" i="8"/>
  <c r="M34" i="8" s="1"/>
  <c r="C35" i="8"/>
  <c r="T30" i="7"/>
  <c r="M31" i="7"/>
  <c r="N31" i="7" s="1"/>
  <c r="R31" i="7"/>
  <c r="S31" i="7" s="1"/>
  <c r="J31" i="7"/>
  <c r="O30" i="7"/>
  <c r="Q38" i="11"/>
  <c r="R38" i="11" s="1"/>
  <c r="Q39" i="10"/>
  <c r="M39" i="11"/>
  <c r="N39" i="11"/>
  <c r="H38" i="11"/>
  <c r="I38" i="11"/>
  <c r="F39" i="10"/>
  <c r="Q37" i="9"/>
  <c r="R37" i="9" s="1"/>
  <c r="H37" i="9"/>
  <c r="I37" i="9"/>
  <c r="P38" i="9"/>
  <c r="N38" i="9"/>
  <c r="M38" i="9"/>
  <c r="F38" i="9"/>
  <c r="O38" i="9"/>
  <c r="G38" i="9"/>
  <c r="L39" i="9"/>
  <c r="I32" i="7"/>
  <c r="U32" i="8" l="1"/>
  <c r="S33" i="8"/>
  <c r="G33" i="8"/>
  <c r="I33" i="8"/>
  <c r="Q33" i="8"/>
  <c r="R33" i="8"/>
  <c r="L35" i="8"/>
  <c r="M35" i="8" s="1"/>
  <c r="C36" i="8"/>
  <c r="E34" i="8"/>
  <c r="N34" i="8" s="1"/>
  <c r="P34" i="8" s="1"/>
  <c r="D35" i="8"/>
  <c r="T31" i="7"/>
  <c r="R34" i="8"/>
  <c r="M32" i="7"/>
  <c r="N32" i="7" s="1"/>
  <c r="R32" i="7"/>
  <c r="S32" i="7" s="1"/>
  <c r="J32" i="7"/>
  <c r="C37" i="8" s="1"/>
  <c r="O31" i="7"/>
  <c r="U39" i="10"/>
  <c r="C8" i="12" s="1"/>
  <c r="T39" i="10"/>
  <c r="G39" i="11"/>
  <c r="M39" i="9"/>
  <c r="I38" i="9"/>
  <c r="H38" i="9"/>
  <c r="Q38" i="9"/>
  <c r="R38" i="9" s="1"/>
  <c r="I33" i="7"/>
  <c r="R40" i="10" l="1"/>
  <c r="R41" i="10" s="1"/>
  <c r="J40" i="10" a="1"/>
  <c r="J40" i="10" s="1"/>
  <c r="J41" i="10" s="1"/>
  <c r="U33" i="8"/>
  <c r="Q34" i="8"/>
  <c r="I34" i="8"/>
  <c r="G34" i="8"/>
  <c r="S34" i="8"/>
  <c r="E35" i="8"/>
  <c r="N35" i="8" s="1"/>
  <c r="D36" i="8"/>
  <c r="T32" i="7"/>
  <c r="L36" i="8"/>
  <c r="P35" i="8"/>
  <c r="I35" i="8"/>
  <c r="G35" i="8"/>
  <c r="O32" i="7"/>
  <c r="M33" i="7"/>
  <c r="N33" i="7" s="1"/>
  <c r="R33" i="7"/>
  <c r="S33" i="7" s="1"/>
  <c r="J33" i="7"/>
  <c r="N39" i="9"/>
  <c r="R39" i="11"/>
  <c r="B9" i="12" s="1"/>
  <c r="Q39" i="11"/>
  <c r="G40" i="10"/>
  <c r="G41" i="10" s="1"/>
  <c r="P40" i="10"/>
  <c r="P41" i="10" s="1"/>
  <c r="G39" i="9"/>
  <c r="U34" i="8" l="1"/>
  <c r="R35" i="8"/>
  <c r="Q35" i="8"/>
  <c r="S35" i="8"/>
  <c r="E36" i="8"/>
  <c r="N36" i="8" s="1"/>
  <c r="D37" i="8"/>
  <c r="L37" i="8"/>
  <c r="M37" i="8" s="1"/>
  <c r="C38" i="8"/>
  <c r="L38" i="8" s="1"/>
  <c r="M38" i="8" s="1"/>
  <c r="T33" i="7"/>
  <c r="P36" i="8"/>
  <c r="R36" i="8"/>
  <c r="I36" i="8"/>
  <c r="Q36" i="8"/>
  <c r="S36" i="8"/>
  <c r="G36" i="8"/>
  <c r="O33" i="7"/>
  <c r="M36" i="8"/>
  <c r="G40" i="11"/>
  <c r="L40" i="11"/>
  <c r="M40" i="11"/>
  <c r="N40" i="11"/>
  <c r="R39" i="9"/>
  <c r="B7" i="12" s="1"/>
  <c r="Q39" i="9"/>
  <c r="U35" i="8" l="1"/>
  <c r="M39" i="8"/>
  <c r="E37" i="8"/>
  <c r="N37" i="8" s="1"/>
  <c r="P37" i="8" s="1"/>
  <c r="D38" i="8"/>
  <c r="E38" i="8" s="1"/>
  <c r="Q40" i="11"/>
  <c r="U36" i="8"/>
  <c r="L39" i="8"/>
  <c r="C39" i="8"/>
  <c r="G40" i="9"/>
  <c r="L40" i="9"/>
  <c r="N40" i="9"/>
  <c r="M40" i="9"/>
  <c r="Q37" i="8" l="1"/>
  <c r="I37" i="8"/>
  <c r="R37" i="8"/>
  <c r="S37" i="8"/>
  <c r="G37" i="8"/>
  <c r="E39" i="8"/>
  <c r="N38" i="8"/>
  <c r="N39" i="8" s="1"/>
  <c r="G38" i="8"/>
  <c r="G39" i="8" s="1"/>
  <c r="S38" i="8"/>
  <c r="Q38" i="8"/>
  <c r="I38" i="8"/>
  <c r="R38" i="8"/>
  <c r="Q40" i="9"/>
  <c r="P38" i="8" l="1"/>
  <c r="P39" i="8" s="1"/>
  <c r="H39" i="8"/>
  <c r="I39" i="8"/>
  <c r="F39" i="8"/>
  <c r="Q39" i="8"/>
  <c r="K39" i="8"/>
  <c r="U38" i="8" l="1"/>
  <c r="U37" i="8"/>
  <c r="T39" i="8" l="1"/>
  <c r="G40" i="8" s="1"/>
  <c r="U39" i="8"/>
  <c r="C6" i="12" s="1"/>
  <c r="R40" i="8"/>
  <c r="R41" i="8" s="1"/>
  <c r="P40" i="8" l="1"/>
  <c r="J40" i="8" a="1"/>
  <c r="J40" i="8" s="1"/>
  <c r="J41" i="8" s="1"/>
  <c r="P41" i="8"/>
  <c r="G41" i="8"/>
  <c r="D34" i="3" l="1"/>
  <c r="D29" i="3" l="1"/>
  <c r="D24" i="3" l="1"/>
  <c r="D19" i="3"/>
  <c r="D14" i="3"/>
  <c r="D9" i="3"/>
  <c r="D39" i="3" l="1"/>
  <c r="B5" i="12" s="1"/>
  <c r="B13" i="12" s="1"/>
  <c r="C13" i="12" l="1"/>
  <c r="E10" i="12" l="1"/>
  <c r="E6" i="12"/>
  <c r="E8" i="12"/>
  <c r="E12" i="12"/>
  <c r="B1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<sst xmlns="http://schemas.openxmlformats.org/spreadsheetml/2006/main" count="412" uniqueCount="190">
  <si>
    <t>Year</t>
  </si>
  <si>
    <t>Calendar Year</t>
  </si>
  <si>
    <t>7% NPV</t>
  </si>
  <si>
    <t>A</t>
  </si>
  <si>
    <t>B</t>
  </si>
  <si>
    <t>C</t>
  </si>
  <si>
    <t>D</t>
  </si>
  <si>
    <t>E</t>
  </si>
  <si>
    <t>F</t>
  </si>
  <si>
    <t>Net Maintenance Costs (C-D)</t>
  </si>
  <si>
    <t>Delta</t>
  </si>
  <si>
    <t>Growth Rate</t>
  </si>
  <si>
    <t>TOTAL</t>
  </si>
  <si>
    <t>With the Grant Project</t>
  </si>
  <si>
    <t>Without the Grant Project</t>
  </si>
  <si>
    <t>Feedstock</t>
  </si>
  <si>
    <t>Propane</t>
  </si>
  <si>
    <t>Total Tons of Inbound Feedstock</t>
  </si>
  <si>
    <t>Feedstock Tons Per Carload</t>
  </si>
  <si>
    <t>% of Inbound Feedstock by Rail</t>
  </si>
  <si>
    <t>Milo</t>
  </si>
  <si>
    <t>Masardis</t>
  </si>
  <si>
    <t>Ashland</t>
  </si>
  <si>
    <t>Portage</t>
  </si>
  <si>
    <t>Distance by Rail</t>
  </si>
  <si>
    <t>Distance by Truck</t>
  </si>
  <si>
    <t>Average</t>
  </si>
  <si>
    <t>Average Rail Miles</t>
  </si>
  <si>
    <t>Searsport</t>
  </si>
  <si>
    <t>Total Tons of Outbound Wood Pellets</t>
  </si>
  <si>
    <t>With Grant</t>
  </si>
  <si>
    <t>Without the Grant</t>
  </si>
  <si>
    <t>Wood Pellets</t>
  </si>
  <si>
    <t>Truck Distance to Searsport</t>
  </si>
  <si>
    <t>Rail Distance to Searsport</t>
  </si>
  <si>
    <t>G</t>
  </si>
  <si>
    <t>H</t>
  </si>
  <si>
    <t>I</t>
  </si>
  <si>
    <t>J</t>
  </si>
  <si>
    <t>K</t>
  </si>
  <si>
    <t>L</t>
  </si>
  <si>
    <t>M</t>
  </si>
  <si>
    <t>N</t>
  </si>
  <si>
    <t>O</t>
  </si>
  <si>
    <t>P</t>
  </si>
  <si>
    <t>Q</t>
  </si>
  <si>
    <t>R</t>
  </si>
  <si>
    <t>S</t>
  </si>
  <si>
    <t>T</t>
  </si>
  <si>
    <t>U</t>
  </si>
  <si>
    <t>Project Year</t>
  </si>
  <si>
    <t>Fuel Cost for Truck Trips (N*O)</t>
  </si>
  <si>
    <t>Average Miles of Rail Traveled</t>
  </si>
  <si>
    <t>Cost of Lives Due to Rail Accidents (E/100000000*.47*$11,600,000)(Per BCA Guidance)</t>
  </si>
  <si>
    <t xml:space="preserve">Congestion cost per ton  mile ($.0003)(F*.0003)(CBO Social Cost Pricing in Freight Transportation, 2014) </t>
  </si>
  <si>
    <t xml:space="preserve">Highway maintenance costs per ton mile ($.0085 per ton mile) (F*.0006)(CBO Social Cost Pricing in Freight Transportation, 2014) </t>
  </si>
  <si>
    <t>Fuel Cost  (J*K)</t>
  </si>
  <si>
    <t>Net Costs (G+L+M+N+O+P)</t>
  </si>
  <si>
    <t>Total</t>
  </si>
  <si>
    <t>Wtd. Avg. Miles</t>
  </si>
  <si>
    <t>7% NPV Summary</t>
  </si>
  <si>
    <t>Costs</t>
  </si>
  <si>
    <t>Benefits</t>
  </si>
  <si>
    <t>% of Benefits</t>
  </si>
  <si>
    <t xml:space="preserve">Maintenance  </t>
  </si>
  <si>
    <r>
      <t xml:space="preserve">CO2 savings </t>
    </r>
    <r>
      <rPr>
        <b/>
        <sz val="8"/>
        <color indexed="8"/>
        <rFont val="Calibri"/>
        <family val="2"/>
      </rPr>
      <t>(@3% disc)</t>
    </r>
  </si>
  <si>
    <t xml:space="preserve">Benefit-Cost Ratio  </t>
  </si>
  <si>
    <t>CO2 Metric Ton emissions/year by rail (using BNSF Carbon Calculator) (See Appendix (F) for sample calculation)</t>
  </si>
  <si>
    <t>CO2 Metric Ton emissions/year if forced to use truck alternative (using BNSF Carbon Calculator) (See Appendix (F) for sample calculation)</t>
  </si>
  <si>
    <t>Net CO2 Net Metric Ton emissions/year (D-C)</t>
  </si>
  <si>
    <t>Damage Cost per Metric Ton of CO2 (per BCA Guidance)</t>
  </si>
  <si>
    <t>CO2 Costs (E*F)</t>
  </si>
  <si>
    <t>CO2 Costs Discounted @ 3% Avg SCC</t>
  </si>
  <si>
    <t>BNSF Railway Carbon Estimator</t>
  </si>
  <si>
    <t>Report for MER created 11/11/2022 8:13 am</t>
  </si>
  <si>
    <t>Shipment #1</t>
  </si>
  <si>
    <t>Shipment #2</t>
  </si>
  <si>
    <t>Shipment #3</t>
  </si>
  <si>
    <t>Commodity</t>
  </si>
  <si>
    <t>Commodity Group</t>
  </si>
  <si>
    <t>Commodity Type</t>
  </si>
  <si>
    <t>Tons per Unit</t>
  </si>
  <si>
    <t>Rail Volume</t>
  </si>
  <si>
    <t>Number of Rail Units:</t>
  </si>
  <si>
    <t>Avg annual delta during the Project Life Period</t>
  </si>
  <si>
    <t>Geography / Mileage</t>
  </si>
  <si>
    <t>Origin:</t>
  </si>
  <si>
    <t>Destination:</t>
  </si>
  <si>
    <t>Rail Shipment Distance:</t>
  </si>
  <si>
    <t>Incremental Truck Mileage</t>
  </si>
  <si>
    <t>Comparable Truck Volume</t>
  </si>
  <si>
    <t>Number of Trucks:</t>
  </si>
  <si>
    <t>Truck Performance Assumptions</t>
  </si>
  <si>
    <t>Highway / Long Haul MPG:</t>
  </si>
  <si>
    <t>Highway / Long Haul Out-of-Route Miles Percentage:</t>
  </si>
  <si>
    <t>Highway / Long Haul Empty Miles Percentage:</t>
  </si>
  <si>
    <t>Your Carbon Footprint and Comparison</t>
  </si>
  <si>
    <r>
      <t>Estimated Rail Carbon Footprint (Metric Tons CO</t>
    </r>
    <r>
      <rPr>
        <vertAlign val="subscript"/>
        <sz val="9"/>
        <color theme="1"/>
        <rFont val="Arial"/>
        <family val="2"/>
      </rPr>
      <t>2</t>
    </r>
    <r>
      <rPr>
        <sz val="9"/>
        <color theme="1"/>
        <rFont val="Arial"/>
        <family val="2"/>
      </rPr>
      <t xml:space="preserve"> equivalent):</t>
    </r>
  </si>
  <si>
    <t>Annual tons of Carbon produced by rail traffic</t>
  </si>
  <si>
    <r>
      <t>Estimated Long Haul Truck Carbon Footprint (Metric Tons CO</t>
    </r>
    <r>
      <rPr>
        <vertAlign val="subscript"/>
        <sz val="9"/>
        <color theme="1"/>
        <rFont val="Arial"/>
        <family val="2"/>
      </rPr>
      <t>2</t>
    </r>
    <r>
      <rPr>
        <sz val="9"/>
        <color theme="1"/>
        <rFont val="Arial"/>
        <family val="2"/>
      </rPr>
      <t xml:space="preserve"> equivalent):</t>
    </r>
  </si>
  <si>
    <t>Annual tons of Carbon produced by equivalent truck traffic</t>
  </si>
  <si>
    <t>Using a carload or intermodal rail solution instead of truck only would reduce this shipment's estimated Carbon Footprint by:</t>
  </si>
  <si>
    <t>Please Note:</t>
  </si>
  <si>
    <t>Actual carbon emissions may vary from the results provided here as a result of variable factors such as topography, weather, unique product characteristics, etc. BNSF’s carbon emission estimator was formed in collaboration with ClearCarbon Consulting, Inc. to illustrate the estimated environmental benefit that is obtained by utilizing rail as part of your company’s supply chain. These carbon estimations rely on data sources including BNSF shipment history and internal shipping metrics, along with assumptions for route mileage calculation, trucking industry averages for empty miles, out-of-route miles, and fuel efficiency (Truck Assumption: 6.5 mpg highway, 6.1 mpg city), and other data sources such as the U.S. EPA’s Climate Leaders program emission factors (Direct Emissions from Mobile Combustion Sources, May 2008).</t>
  </si>
  <si>
    <t>Capital Cost</t>
  </si>
  <si>
    <t>Truck Elimination (Inbound)</t>
  </si>
  <si>
    <t>Rail Cost Baseline (Inbound)</t>
  </si>
  <si>
    <t>Truck Elimination (Outbound)</t>
  </si>
  <si>
    <t>Rail Cost Baseline (Outbound)</t>
  </si>
  <si>
    <t>We assume that feedstock will come equally from these 4 locations and therefore all are weighted equally</t>
  </si>
  <si>
    <t>Outbound wood pellets will be shipped by rail to Searsport in the yes-build scenario. In the no-build scenario, they will be hauled by truck to Searsport</t>
  </si>
  <si>
    <t>Lumber / Paper</t>
  </si>
  <si>
    <t>Feedstocks</t>
  </si>
  <si>
    <t>Millinocket</t>
  </si>
  <si>
    <t>Maine Woods to Water Rail Connection Project</t>
  </si>
  <si>
    <t>Wood Pellet Tons Per Carload</t>
  </si>
  <si>
    <t>% of Outbound Wood Pellets by Rail</t>
  </si>
  <si>
    <t>Hermon</t>
  </si>
  <si>
    <t>Trucks per Carload</t>
  </si>
  <si>
    <t>In the no-build scenario, we expect propane will be shipped by rail from Ontario, Canada to Hermon, ME, the nearest terminal and trucked the rest of the way to Millinocket. In the yes-build scenario, it will be sent by rail from Ontario directly to Millinocket.</t>
  </si>
  <si>
    <t>*It should be noted we will not be including a baseline rail impact for propane transport as the distance by rail from its origin in Ontario to the terminal in Hermon, ME is longer than if it went directly to Millinocket. Therefore, this project would result in less rail miles and truck miles travelled.</t>
  </si>
  <si>
    <t>Yearly Capitalization:</t>
  </si>
  <si>
    <t>Number of Carloads</t>
  </si>
  <si>
    <t>Total Rail Miles C*D*2 (Round-Trip)</t>
  </si>
  <si>
    <t>Calendar Year (Assumes Benefits Begin to Accrue in 2026)</t>
  </si>
  <si>
    <t>Rail Noise ($.041 per Rail Mile)</t>
  </si>
  <si>
    <t>Total Vehicle Miles Traveled if Not by Rail (C*D*3*2) (Round-Trip)(One Railcar = 3 Trucks Based on 80,000lb limit)</t>
  </si>
  <si>
    <t>Value of Lives Saved by Eliminating Trucks From the Highway (1.46 Fatalities for Every 100 Million Truck Miles)(2018 Update  https://www.fmcsa.dot.gov/sites/fmcsa.dot.gov/files/docs/safety/data-and-statistics/398686/ltbcf-2016-final-508c-may-2018.pdf) (per USDOT Mar-22 BCA Guidance) ($11.6 million/life in 2020)</t>
  </si>
  <si>
    <t>Value of Preventing Injuries by Eliminating Trucks From the Highway (5.66 Injuries for Every 100 Million Truck Miles) (2018 Update  https://www.fmcsa.dot.gov/sites/fmcsa.dot.gov/files/docs/safety/data-and-statistics/398686/ltbcf-2016-final-508c-may-2018.pdf)(.047 VSL Used to Calculate Cost of Injury Averted) ( USDOT Mar-22 BCA Guidance)</t>
  </si>
  <si>
    <t>Direct Economic Costs Associated With Crashes Caused by Trucks ($4,500 per Vehicle in Crash) (14.0+3.95+1.46 Crashes per 100 Million Truck Miles)(2018 Update  https://www.fmcsa.dot.gov/sites/fmcsa.dot.gov/files/docs/safety/data-and-statistics/398686/ltbcf-2016-final-508c-may-2018.pdf)(per USDOT Mar-22 BCA Guidance) (Assumption: Each Fatal and Injury Crash Results in an Economic Cost)</t>
  </si>
  <si>
    <t xml:space="preserve">Trucks Eliminated From Highway System (1 Carload = 3 Trucks) - Conservatively Estimated </t>
  </si>
  <si>
    <t>Car Capacity Created by Elimination of Trucks From Highway System (One Truck = Capacity of 4 Automobiles) (Column L*4)</t>
  </si>
  <si>
    <t>Gallons of Fuel Needed (Using FMCSA Data of 6.5 Miles/Gallon) (E/6.5) Based on Reduced Aerodynamics of High-Cube Trailers</t>
  </si>
  <si>
    <t xml:space="preserve">Vehicle Miles (Distance Trucks Travel to Deliver Pellets to Searsport) </t>
  </si>
  <si>
    <t xml:space="preserve">Vehicle Miles (Average Distance Trucks Travel from Nearest Alternative Feedstock Supplier Location and to Deliver Propane) </t>
  </si>
  <si>
    <t>Total Vehicle Miles Traveled if Not by Rail (C*D*2.5*2) (Round-Trip)(One Railcar = 2.5 Trucks Based on 80,000lb limit)</t>
  </si>
  <si>
    <t xml:space="preserve">Trucks Eliminated From Highway System (1 Carload = 2.5 Trucks) - Conservatively Estimated </t>
  </si>
  <si>
    <t>Initial Capital Cost</t>
  </si>
  <si>
    <t>St John New Brunswick Fish Food</t>
  </si>
  <si>
    <t>St. John</t>
  </si>
  <si>
    <t>Waterville (CSX)</t>
  </si>
  <si>
    <t>Distance to nearest transload to get on national freight network for future outbound traffic. These are the distances by rail and truck, respectively, that additional outbound traffic is expected to travel should the project be built.</t>
  </si>
  <si>
    <t>Net average distance potential future inbound opportunities will have to truck their goods if not using the rail line, we anticipate future goods will travel a similar route.</t>
  </si>
  <si>
    <t>These are conservative estimates for the distance future inbound and outbound rail traffic will be travelling by rail should the Project be built and by truck if the Project is not built. Given we do not know exact growth figures, we have conservatively estimated carload growth and evenly split them between inbound and outbound routes.</t>
  </si>
  <si>
    <t>Average Distance by Truck</t>
  </si>
  <si>
    <t>Average Distance by Rail</t>
  </si>
  <si>
    <t>Total Vehicle Miles Traveled if Not by Rail (C*D*3.5*2) (Round-Trip)(One Railcar = 3.5 Trucks Based on 80,000lb limit)</t>
  </si>
  <si>
    <t xml:space="preserve">Trucks Eliminated From Highway System (1 Carload = 3.5 Trucks) - Conservatively Estimated </t>
  </si>
  <si>
    <t xml:space="preserve">Additional maintenance for yard track and siding to support this new business. </t>
  </si>
  <si>
    <t>Incremental main line track maintenance will be negligible given that it is shared with existing tonnage and new tonnage will not put it over a maintenance threshold.</t>
  </si>
  <si>
    <t>Price/Gallon of Diesel Fuel (U.S. Energy Information Administration Annual Energy November 2022 Actuals, Held Constant to be Conservative)</t>
  </si>
  <si>
    <t xml:space="preserve">Gross Ton Miles (Column E) X 57,000 avg (Based on Truck Weight Loaded Limit of 80,000 lbs. and 34,000 lbs. Average Empty Weight) </t>
  </si>
  <si>
    <t>NOx Emissions Reduction (Column E*9.191 g/mile*lb. Conversion Rate/2000 (Short Tons Conversion Rate)*Table A-6 Value) (per USDOT Mar-22 BCA Guidance)</t>
  </si>
  <si>
    <t>Particulate Matter Savings  (Column E*.215g/mile*lb. Conversion Rate/2000 (Short Tons Conversion rate)*Table A-6 Value) (per USDOT Mar-22 BCA Guidance)</t>
  </si>
  <si>
    <t>Sulfur Oxide  (Column E*.097 g/mile*lb. Conversion Rate/2000 (Short Tons Conversion rate)*Table A-6 Value) (per USDOT Mar-22 BCA Guidance)</t>
  </si>
  <si>
    <t>Gross Ton Miles (E*84) (135 GT Full + 33 GT Empty/2) = Average Weight of Railcars in a Round-Trip Move)</t>
  </si>
  <si>
    <t>NOx emissions reduction (E4*9.191 g/mile*lb. conversion rate/2000 (short tons conversion rate)*Table A-6 Value) (per USDOT Mar-22 BCA Guidance)</t>
  </si>
  <si>
    <t>Particulate Matter Savings  (E4*.215g/mile*lb. Conversion Rate/2000 (Short Tons Conversion Rate)*Table A-6 Value) (per USDOT Mar-22 BCA Guidance)</t>
  </si>
  <si>
    <t>Sulfur Oxide  (E4*.097 g/mile*lb. Conversion Rate/2000 (Short Tons Conversion Rate)*Table A-6 Value) (per USDOT Mar-22 BCA Guidance)</t>
  </si>
  <si>
    <t>Truck Elimination (New Park Customers)</t>
  </si>
  <si>
    <t>Rail Cost Baseline (New Park Customers)</t>
  </si>
  <si>
    <t>Net annual tons of Carbon saved by the Project</t>
  </si>
  <si>
    <t>Methodology and Approach</t>
  </si>
  <si>
    <t>Current Status/Baseline &amp; Problem to be Addressed</t>
  </si>
  <si>
    <t>Change to Baseline/Alternatives</t>
  </si>
  <si>
    <t>Type of Impacts</t>
  </si>
  <si>
    <t>Population Affected by Impacts</t>
  </si>
  <si>
    <t>Economic Benefit</t>
  </si>
  <si>
    <t>Summary of Results</t>
  </si>
  <si>
    <t>Tab in BCA</t>
  </si>
  <si>
    <t>“BCA Summary”</t>
  </si>
  <si>
    <t>Populations positively affected by the Project include rural Maine residents whose local economy has been suffering since the collapse of its forest products industry in the early 2000s. Once the home of one of the largest news paper producers, the economy mostly relies on tourism, an extremely volatile and unreliable industry. The Project would provide jobs to replace those lost years ago and build the infrastructure for the industry to continue to grow.</t>
  </si>
  <si>
    <t>Shipment #4</t>
  </si>
  <si>
    <t>Petroleum Products</t>
  </si>
  <si>
    <t>LPG</t>
  </si>
  <si>
    <t>Number of truck equivalents per carload @ 2.5:1, 3:1, 3.5:1, and 3.5:1 respectively</t>
  </si>
  <si>
    <t>General Goods</t>
  </si>
  <si>
    <t>Waterville</t>
  </si>
  <si>
    <t>This Project will have numerous benefits to weigh against costs in this BCA analysis. Maintenance cost for the main section of track will remain constant as increased tonnage will not push the line over a maintenance threshold. However, due to maintenance costs associated with the new yard track and siding should the Project be built, we have included net maintenance as a cost. The net benefits of eliminated truck traffic are weighed against the increased rail traffic. The net reduction in emissions, fuel consumption, and fatal crashes are among the benefits recorded. The value of the project will not extend past the 30 year analysis period, so we have not recorded any residual value as a benefit. All dollar amounts are in 2020 dollars unless otherwise noted. All future dollar amounts are discounted back to 2020 dollars at a 7% NPV. The period of analysis extends 30 years past the first year of operation, terminating in 2055.</t>
  </si>
  <si>
    <t>Worn crossties and antiquated rail make it unsafe and unreliable to transport covered hoppers full of wood pellets and feedstock on the line. The spur track connecting the Millinocket Yard to the industrial park entrance is dormant, needing service to several grade crossings and general maintenance. General disarray of track conditions makes it near impossible to handle freight coming in by rail, forcing all inbound and outbound traffic to come by truck. After the forest products industry dried up in the early 2000s due to foreign competition, many in the region were left jobless and the region has yet to recover. This wood pellet manufacturing plant will revive the once thriving economy of the region.</t>
  </si>
  <si>
    <t xml:space="preserve">Rehabilitating two 3,600-foot yard tracks by improving and replacing crossties, rail, ballast, and turnouts. This will allow for the safe and reliable transfer of outbound pellets to Searsport. Rehabilitating spur track connecting the Millinocket Yard to the industrial park by restoring three grade crossing protection devices and replacing crossties, rail, ballast, and turnouts. Building a loop track and parallel siding in the Park to serve the pellet production facility, employing 120 people. </t>
  </si>
  <si>
    <t>The Project will create a solid rail connection between the North Maine Woods and Searsport. The improvements to the rail line will make transporting goods across it safer and more reliable. The Project will eliminate trucks from roadways. These trucks would primarily use backroads which are more dangerous for the local population and create harmful emissions. The Project will allow NBM to service current customers and anticipated demand as well.</t>
  </si>
  <si>
    <t>Average Truck Miles (See explanation in Distance tab)</t>
  </si>
  <si>
    <t xml:space="preserve"> Gallons of Fuel Needed (MEDOT Average Fuel Consumption per Carload = 9 Gallons)</t>
  </si>
  <si>
    <t>Value of Preventing Injuries by Eliminating Trucks From the Highway (5.66 Injuries for Every 100 Million Truck Miles) (2018 Update  https://www.fmcsa.dot.gov/sites/fmcsa.dot.gov/files/docs/safety/data-and-statistics/398686/ltbcf-2016-final-508c-may-2018.pdf)(.047 VSL Used to Calculate Cost of Injury Averted) (USDOT Mar-22 BCA Guidance)</t>
  </si>
  <si>
    <t xml:space="preserve">Highway Maintenance Costs Saved Due to Truck Elimination ($.0074-.0096 per Truck Ton Mile, https://www.cbo.gov/sites/default/files/114th-congress-2015-2016/workingpaper/50049-Freight_Transport_Working_Paper-2.pdf, page 3) (Column I*.0085 midpoint *1.10 to Put Into 2020 $) </t>
  </si>
  <si>
    <t>Highway Congestion Costs Saved Due to Truck Elimination ($.0042-.0090 per Truck Ton Miles, https://www.cbo.gov/sites/default/files/114th-congress-2015-2016/workingpaper/50049-Freight_Transport_Working_Paper-2.pdf, page 3) (Column I * .0066 * 1.10 to Put into 2020 $)</t>
  </si>
  <si>
    <t>Net Benefits (F+G+H+J+K+P+Q+R+S)</t>
  </si>
  <si>
    <t>On a discounted rate of 7% the project yields benefits of more than $176 million from truck elimination through reduced emissions of various kinds and reduced safety risk due to crowded roads and highways.</t>
  </si>
  <si>
    <t>The public value of the Project at a discounted rate of 7% is 3.01/1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</si>
</sst>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quot; &quot;&quot;$&quot;* #,##0&quot; &quot;;&quot; &quot;&quot;$&quot;* \(#,##0\);&quot; &quot;&quot;$&quot;* &quot;-&quot;??&quot; &quot;"/>
    <numFmt numFmtId="165" formatCode="&quot;$&quot;#,##0"/>
    <numFmt numFmtId="166" formatCode="&quot;$&quot;#,##0;[Red]&quot;$&quot;#,##0"/>
    <numFmt numFmtId="167" formatCode="_(* #,##0_);_(* \(#,##0\);_(* &quot;-&quot;??_);_(@_)"/>
    <numFmt numFmtId="168" formatCode="0.0"/>
    <numFmt numFmtId="169" formatCode="&quot; &quot;* #,##0&quot; &quot;;&quot; &quot;* \(#,##0\);&quot; &quot;* &quot;-&quot;??&quot; &quot;"/>
    <numFmt numFmtId="170" formatCode="&quot; &quot;&quot;$&quot;* #,##0.00&quot; &quot;;&quot; &quot;&quot;$&quot;* \(#,##0.00\);&quot; &quot;&quot;$&quot;* &quot;-&quot;??&quot; &quot;"/>
    <numFmt numFmtId="171" formatCode="#,##0;[Red]#,##0"/>
    <numFmt numFmtId="172" formatCode="_(&quot;$&quot;* #,##0_);_(&quot;$&quot;* \(#,##0\);_(&quot;$&quot;* &quot;-&quot;??_);_(@_)"/>
    <numFmt numFmtId="173" formatCode="&quot;$&quot;#,##0.00;[Red]&quot;$&quot;#,##0.00"/>
    <numFmt numFmtId="174" formatCode="0.0%"/>
    <numFmt numFmtId="175" formatCode="&quot;$&quot;#,##0;[Red]\-&quot;$&quot;#,##0"/>
    <numFmt numFmtId="176" formatCode="#,##0.0"/>
    <numFmt numFmtId="177" formatCode="_(* #,##0.0_);_(* \(#,##0.0\);_(* &quot;-&quot;??_);_(@_)"/>
  </numFmts>
  <fonts count="39" x14ac:knownFonts="1">
    <font>
      <sz val="12"/>
      <color indexed="8"/>
      <name val="Verdana"/>
    </font>
    <font>
      <sz val="11"/>
      <color theme="1"/>
      <name val="Helvetica"/>
      <family val="2"/>
      <scheme val="minor"/>
    </font>
    <font>
      <sz val="11"/>
      <color theme="1"/>
      <name val="Helvetica"/>
      <family val="2"/>
      <scheme val="minor"/>
    </font>
    <font>
      <sz val="12"/>
      <color indexed="8"/>
      <name val="Verdana"/>
      <family val="2"/>
    </font>
    <font>
      <b/>
      <sz val="11"/>
      <color indexed="8"/>
      <name val="Calibri"/>
      <family val="2"/>
    </font>
    <font>
      <u/>
      <sz val="12"/>
      <color theme="11"/>
      <name val="Verdana"/>
      <family val="2"/>
    </font>
    <font>
      <sz val="8"/>
      <name val="Verdana"/>
      <family val="2"/>
    </font>
    <font>
      <u/>
      <sz val="12"/>
      <color theme="10"/>
      <name val="Verdana"/>
      <family val="2"/>
    </font>
    <font>
      <b/>
      <sz val="11"/>
      <color indexed="8"/>
      <name val="Calibri"/>
      <family val="2"/>
    </font>
    <font>
      <sz val="11"/>
      <color indexed="8"/>
      <name val="Calibri"/>
      <family val="2"/>
    </font>
    <font>
      <sz val="11"/>
      <color rgb="FF000000"/>
      <name val="Calibri"/>
      <family val="2"/>
    </font>
    <font>
      <sz val="11"/>
      <color rgb="FF000000"/>
      <name val="Calibri"/>
      <family val="2"/>
    </font>
    <font>
      <sz val="12"/>
      <color indexed="8"/>
      <name val="Verdana"/>
      <family val="2"/>
    </font>
    <font>
      <b/>
      <sz val="11"/>
      <color theme="1"/>
      <name val="Helvetica"/>
      <family val="2"/>
      <scheme val="minor"/>
    </font>
    <font>
      <b/>
      <u/>
      <sz val="11"/>
      <color rgb="FF00B050"/>
      <name val="Helvetica"/>
      <family val="2"/>
      <scheme val="minor"/>
    </font>
    <font>
      <b/>
      <u/>
      <sz val="11"/>
      <color rgb="FFFF0000"/>
      <name val="Helvetica"/>
      <family val="2"/>
      <scheme val="minor"/>
    </font>
    <font>
      <b/>
      <u/>
      <sz val="11"/>
      <color rgb="FF0000FF"/>
      <name val="Helvetica"/>
      <family val="2"/>
      <scheme val="minor"/>
    </font>
    <font>
      <u/>
      <sz val="11"/>
      <color theme="1"/>
      <name val="Helvetica"/>
      <family val="2"/>
      <scheme val="minor"/>
    </font>
    <font>
      <b/>
      <sz val="12"/>
      <color indexed="8"/>
      <name val="Verdana"/>
      <family val="2"/>
    </font>
    <font>
      <u/>
      <sz val="12"/>
      <color indexed="8"/>
      <name val="Verdana"/>
      <family val="2"/>
    </font>
    <font>
      <b/>
      <sz val="11"/>
      <color theme="1"/>
      <name val="Helvetica"/>
      <scheme val="minor"/>
    </font>
    <font>
      <b/>
      <sz val="11"/>
      <color rgb="FF00B050"/>
      <name val="Calibri"/>
      <family val="2"/>
    </font>
    <font>
      <b/>
      <sz val="11"/>
      <color rgb="FF000000"/>
      <name val="Calibri"/>
      <family val="2"/>
    </font>
    <font>
      <sz val="12"/>
      <color indexed="8"/>
      <name val="Calibri"/>
      <family val="2"/>
    </font>
    <font>
      <i/>
      <sz val="12"/>
      <color indexed="8"/>
      <name val="Verdana"/>
      <family val="2"/>
    </font>
    <font>
      <b/>
      <sz val="11"/>
      <color rgb="FFFF0000"/>
      <name val="Calibri"/>
      <family val="2"/>
    </font>
    <font>
      <b/>
      <sz val="8"/>
      <color indexed="8"/>
      <name val="Calibri"/>
      <family val="2"/>
    </font>
    <font>
      <b/>
      <sz val="16"/>
      <color theme="1"/>
      <name val="Helvetica"/>
      <family val="2"/>
      <scheme val="minor"/>
    </font>
    <font>
      <b/>
      <sz val="9"/>
      <color theme="1"/>
      <name val="Arial"/>
      <family val="2"/>
    </font>
    <font>
      <b/>
      <sz val="12"/>
      <color rgb="FF000000"/>
      <name val="Arial"/>
      <family val="2"/>
    </font>
    <font>
      <sz val="9"/>
      <color theme="1"/>
      <name val="Arial"/>
      <family val="2"/>
    </font>
    <font>
      <vertAlign val="subscript"/>
      <sz val="9"/>
      <color theme="1"/>
      <name val="Arial"/>
      <family val="2"/>
    </font>
    <font>
      <b/>
      <sz val="8"/>
      <color theme="1"/>
      <name val="Helvetica"/>
      <family val="2"/>
      <scheme val="minor"/>
    </font>
    <font>
      <sz val="8"/>
      <color theme="1"/>
      <name val="Helvetica"/>
      <family val="2"/>
      <scheme val="minor"/>
    </font>
    <font>
      <sz val="11"/>
      <color theme="1"/>
      <name val="Calibri"/>
      <family val="2"/>
    </font>
    <font>
      <sz val="12"/>
      <color theme="1"/>
      <name val="Calibri"/>
      <family val="2"/>
    </font>
    <font>
      <sz val="12"/>
      <color indexed="8"/>
      <name val="Verdana"/>
      <family val="2"/>
    </font>
    <font>
      <sz val="11"/>
      <name val="Calibri"/>
      <family val="2"/>
    </font>
    <font>
      <sz val="8"/>
      <name val="Verdana"/>
      <family val="2"/>
    </font>
  </fonts>
  <fills count="18">
    <fill>
      <patternFill patternType="none"/>
    </fill>
    <fill>
      <patternFill patternType="gray125"/>
    </fill>
    <fill>
      <patternFill patternType="solid">
        <fgColor indexed="10"/>
        <bgColor auto="1"/>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theme="8"/>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E0D4B6"/>
        <bgColor indexed="64"/>
      </patternFill>
    </fill>
    <fill>
      <patternFill patternType="solid">
        <fgColor rgb="FFDDDDDD"/>
        <bgColor indexed="64"/>
      </patternFill>
    </fill>
    <fill>
      <patternFill patternType="solid">
        <fgColor rgb="FFC9B582"/>
        <bgColor indexed="64"/>
      </patternFill>
    </fill>
    <fill>
      <patternFill patternType="solid">
        <fgColor rgb="FFFFFFFF"/>
        <bgColor indexed="64"/>
      </patternFill>
    </fill>
    <fill>
      <patternFill patternType="solid">
        <fgColor rgb="FFC4CEA6"/>
        <bgColor indexed="64"/>
      </patternFill>
    </fill>
    <fill>
      <patternFill patternType="solid">
        <fgColor rgb="FFD6DCC2"/>
        <bgColor indexed="64"/>
      </patternFill>
    </fill>
    <fill>
      <patternFill patternType="solid">
        <fgColor rgb="FFA8B67C"/>
        <bgColor indexed="64"/>
      </patternFill>
    </fill>
  </fills>
  <borders count="78">
    <border>
      <left/>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9"/>
      </left>
      <right style="thin">
        <color indexed="9"/>
      </right>
      <top style="medium">
        <color indexed="8"/>
      </top>
      <bottom style="thin">
        <color indexed="9"/>
      </bottom>
      <diagonal/>
    </border>
    <border>
      <left style="thin">
        <color indexed="9"/>
      </left>
      <right style="thin">
        <color indexed="9"/>
      </right>
      <top style="thin">
        <color indexed="9"/>
      </top>
      <bottom style="thin">
        <color indexed="9"/>
      </bottom>
      <diagonal/>
    </border>
    <border>
      <left style="medium">
        <color indexed="8"/>
      </left>
      <right style="thin">
        <color indexed="8"/>
      </right>
      <top style="medium">
        <color indexed="8"/>
      </top>
      <bottom style="thin">
        <color indexed="8"/>
      </bottom>
      <diagonal/>
    </border>
    <border>
      <left style="thin">
        <color indexed="9"/>
      </left>
      <right/>
      <top style="thin">
        <color indexed="9"/>
      </top>
      <bottom style="thin">
        <color indexed="9"/>
      </bottom>
      <diagonal/>
    </border>
    <border>
      <left/>
      <right/>
      <top/>
      <bottom/>
      <diagonal/>
    </border>
    <border>
      <left style="thin">
        <color indexed="8"/>
      </left>
      <right style="thin">
        <color indexed="8"/>
      </right>
      <top style="medium">
        <color indexed="8"/>
      </top>
      <bottom/>
      <diagonal/>
    </border>
    <border>
      <left style="thin">
        <color indexed="9"/>
      </left>
      <right style="thin">
        <color indexed="9"/>
      </right>
      <top/>
      <bottom style="thin">
        <color indexed="9"/>
      </bottom>
      <diagonal/>
    </border>
    <border>
      <left style="medium">
        <color indexed="8"/>
      </left>
      <right style="thin">
        <color indexed="8"/>
      </right>
      <top/>
      <bottom style="medium">
        <color indexed="8"/>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indexed="8"/>
      </left>
      <right style="thin">
        <color indexed="8"/>
      </right>
      <top style="thin">
        <color indexed="8"/>
      </top>
      <bottom/>
      <diagonal/>
    </border>
    <border>
      <left style="thin">
        <color indexed="9"/>
      </left>
      <right style="medium">
        <color indexed="8"/>
      </right>
      <top/>
      <bottom style="thin">
        <color indexed="9"/>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auto="1"/>
      </right>
      <top/>
      <bottom style="medium">
        <color indexed="64"/>
      </bottom>
      <diagonal/>
    </border>
    <border>
      <left/>
      <right/>
      <top/>
      <bottom style="medium">
        <color indexed="64"/>
      </bottom>
      <diagonal/>
    </border>
    <border>
      <left style="medium">
        <color indexed="8"/>
      </left>
      <right style="thin">
        <color indexed="8"/>
      </right>
      <top style="medium">
        <color indexed="8"/>
      </top>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indexed="9"/>
      </bottom>
      <diagonal/>
    </border>
    <border>
      <left style="medium">
        <color indexed="64"/>
      </left>
      <right/>
      <top style="medium">
        <color indexed="64"/>
      </top>
      <bottom style="medium">
        <color indexed="64"/>
      </bottom>
      <diagonal/>
    </border>
    <border>
      <left/>
      <right style="thin">
        <color indexed="9"/>
      </right>
      <top/>
      <bottom style="thin">
        <color indexed="9"/>
      </bottom>
      <diagonal/>
    </border>
    <border>
      <left style="medium">
        <color rgb="FF000000"/>
      </left>
      <right style="thin">
        <color rgb="FF000000"/>
      </right>
      <top/>
      <bottom style="thin">
        <color rgb="FF000000"/>
      </bottom>
      <diagonal/>
    </border>
    <border>
      <left style="thin">
        <color indexed="8"/>
      </left>
      <right style="thin">
        <color indexed="8"/>
      </right>
      <top style="thin">
        <color indexed="8"/>
      </top>
      <bottom style="medium">
        <color auto="1"/>
      </bottom>
      <diagonal/>
    </border>
    <border>
      <left style="medium">
        <color indexed="64"/>
      </left>
      <right/>
      <top style="medium">
        <color indexed="64"/>
      </top>
      <bottom style="medium">
        <color indexed="8"/>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8"/>
      </top>
      <bottom/>
      <diagonal/>
    </border>
    <border>
      <left style="medium">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top style="medium">
        <color indexed="64"/>
      </top>
      <bottom style="thin">
        <color indexed="8"/>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style="thin">
        <color indexed="8"/>
      </top>
      <bottom style="thin">
        <color indexed="8"/>
      </bottom>
      <diagonal/>
    </border>
    <border>
      <left style="thin">
        <color auto="1"/>
      </left>
      <right style="medium">
        <color indexed="64"/>
      </right>
      <top/>
      <bottom style="medium">
        <color indexed="64"/>
      </bottom>
      <diagonal/>
    </border>
    <border>
      <left style="medium">
        <color indexed="64"/>
      </left>
      <right/>
      <top/>
      <bottom/>
      <diagonal/>
    </border>
    <border>
      <left/>
      <right style="medium">
        <color auto="1"/>
      </right>
      <top/>
      <bottom/>
      <diagonal/>
    </border>
    <border>
      <left style="thin">
        <color indexed="9"/>
      </left>
      <right style="thin">
        <color indexed="9"/>
      </right>
      <top/>
      <bottom style="medium">
        <color indexed="8"/>
      </bottom>
      <diagonal/>
    </border>
    <border>
      <left style="thin">
        <color indexed="8"/>
      </left>
      <right/>
      <top style="medium">
        <color indexed="8"/>
      </top>
      <bottom/>
      <diagonal/>
    </border>
    <border>
      <left/>
      <right style="thin">
        <color indexed="8"/>
      </right>
      <top style="medium">
        <color indexed="8"/>
      </top>
      <bottom style="thin">
        <color indexed="64"/>
      </bottom>
      <diagonal/>
    </border>
    <border>
      <left/>
      <right/>
      <top style="medium">
        <color rgb="FFC0C0C0"/>
      </top>
      <bottom style="thin">
        <color rgb="FFFFFFFF"/>
      </bottom>
      <diagonal/>
    </border>
    <border>
      <left/>
      <right/>
      <top style="thick">
        <color rgb="FFFFFFFF"/>
      </top>
      <bottom style="thin">
        <color rgb="FFFFFFFF"/>
      </bottom>
      <diagonal/>
    </border>
    <border>
      <left/>
      <right/>
      <top/>
      <bottom style="thin">
        <color rgb="FFFFFFFF"/>
      </bottom>
      <diagonal/>
    </border>
    <border>
      <left/>
      <right/>
      <top style="thin">
        <color rgb="FFFFFFFF"/>
      </top>
      <bottom style="thin">
        <color rgb="FFFFFFFF"/>
      </bottom>
      <diagonal/>
    </border>
    <border>
      <left/>
      <right/>
      <top/>
      <bottom style="medium">
        <color rgb="FFC0C0C0"/>
      </bottom>
      <diagonal/>
    </border>
    <border>
      <left style="thin">
        <color indexed="8"/>
      </left>
      <right style="thin">
        <color indexed="8"/>
      </right>
      <top/>
      <bottom style="thin">
        <color indexed="8"/>
      </bottom>
      <diagonal/>
    </border>
    <border>
      <left style="thin">
        <color indexed="9"/>
      </left>
      <right style="medium">
        <color indexed="8"/>
      </right>
      <top style="medium">
        <color indexed="8"/>
      </top>
      <bottom style="thin">
        <color indexed="9"/>
      </bottom>
      <diagonal/>
    </border>
    <border>
      <left style="thin">
        <color indexed="8"/>
      </left>
      <right style="thin">
        <color indexed="8"/>
      </right>
      <top style="medium">
        <color indexed="8"/>
      </top>
      <bottom/>
      <diagonal/>
    </border>
    <border>
      <left style="medium">
        <color indexed="8"/>
      </left>
      <right/>
      <top/>
      <bottom style="thin">
        <color indexed="8"/>
      </bottom>
      <diagonal/>
    </border>
    <border>
      <left style="thin">
        <color indexed="8"/>
      </left>
      <right style="medium">
        <color indexed="8"/>
      </right>
      <top style="medium">
        <color indexed="8"/>
      </top>
      <bottom style="medium">
        <color indexed="8"/>
      </bottom>
      <diagonal/>
    </border>
    <border>
      <left style="thin">
        <color indexed="64"/>
      </left>
      <right style="thin">
        <color indexed="64"/>
      </right>
      <top style="thin">
        <color indexed="64"/>
      </top>
      <bottom style="medium">
        <color indexed="64"/>
      </bottom>
      <diagonal/>
    </border>
    <border>
      <left style="medium">
        <color indexed="8"/>
      </left>
      <right/>
      <top/>
      <bottom style="medium">
        <color indexed="64"/>
      </bottom>
      <diagonal/>
    </border>
    <border>
      <left style="thin">
        <color indexed="9"/>
      </left>
      <right style="medium">
        <color indexed="64"/>
      </right>
      <top/>
      <bottom style="thin">
        <color indexed="9"/>
      </bottom>
      <diagonal/>
    </border>
    <border>
      <left style="medium">
        <color indexed="64"/>
      </left>
      <right style="thin">
        <color indexed="9"/>
      </right>
      <top/>
      <bottom style="thin">
        <color indexed="9"/>
      </bottom>
      <diagonal/>
    </border>
    <border>
      <left style="medium">
        <color indexed="64"/>
      </left>
      <right/>
      <top/>
      <bottom style="medium">
        <color indexed="64"/>
      </bottom>
      <diagonal/>
    </border>
    <border>
      <left style="medium">
        <color indexed="8"/>
      </left>
      <right style="thin">
        <color indexed="8"/>
      </right>
      <top style="thin">
        <color indexed="8"/>
      </top>
      <bottom style="medium">
        <color indexed="64"/>
      </bottom>
      <diagonal/>
    </border>
    <border>
      <left style="thin">
        <color rgb="FF000000"/>
      </left>
      <right style="thin">
        <color rgb="FF000000"/>
      </right>
      <top/>
      <bottom style="medium">
        <color indexed="64"/>
      </bottom>
      <diagonal/>
    </border>
    <border>
      <left style="thin">
        <color auto="1"/>
      </left>
      <right style="thin">
        <color auto="1"/>
      </right>
      <top style="thin">
        <color auto="1"/>
      </top>
      <bottom style="medium">
        <color indexed="64"/>
      </bottom>
      <diagonal/>
    </border>
    <border>
      <left style="thin">
        <color indexed="9"/>
      </left>
      <right/>
      <top/>
      <bottom style="thin">
        <color indexed="9"/>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rgb="FF000000"/>
      </left>
      <right style="thin">
        <color rgb="FF000000"/>
      </right>
      <top/>
      <bottom style="medium">
        <color indexed="64"/>
      </bottom>
      <diagonal/>
    </border>
    <border>
      <left style="medium">
        <color indexed="64"/>
      </left>
      <right/>
      <top/>
      <bottom style="thin">
        <color indexed="9"/>
      </bottom>
      <diagonal/>
    </border>
    <border>
      <left style="thin">
        <color indexed="9"/>
      </left>
      <right/>
      <top style="medium">
        <color indexed="64"/>
      </top>
      <bottom/>
      <diagonal/>
    </border>
    <border>
      <left/>
      <right style="thin">
        <color indexed="9"/>
      </right>
      <top style="medium">
        <color indexed="64"/>
      </top>
      <bottom/>
      <diagonal/>
    </border>
    <border>
      <left style="thin">
        <color auto="1"/>
      </left>
      <right style="thin">
        <color auto="1"/>
      </right>
      <top style="thin">
        <color auto="1"/>
      </top>
      <bottom/>
      <diagonal/>
    </border>
    <border>
      <left style="thin">
        <color indexed="9"/>
      </left>
      <right/>
      <top style="medium">
        <color indexed="64"/>
      </top>
      <bottom style="thin">
        <color indexed="9"/>
      </bottom>
      <diagonal/>
    </border>
    <border>
      <left/>
      <right style="thin">
        <color indexed="9"/>
      </right>
      <top style="medium">
        <color indexed="64"/>
      </top>
      <bottom style="thin">
        <color indexed="9"/>
      </bottom>
      <diagonal/>
    </border>
    <border>
      <left/>
      <right/>
      <top style="thin">
        <color indexed="9"/>
      </top>
      <bottom/>
      <diagonal/>
    </border>
  </borders>
  <cellStyleXfs count="1965">
    <xf numFmtId="0" fontId="0" fillId="0" borderId="0" applyNumberFormat="0" applyFill="0" applyBorder="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7"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43" fontId="12" fillId="0" borderId="0" applyFont="0" applyFill="0" applyBorder="0" applyAlignment="0" applyProtection="0"/>
    <xf numFmtId="9" fontId="12" fillId="0" borderId="0" applyFont="0" applyFill="0" applyBorder="0" applyAlignment="0" applyProtection="0"/>
    <xf numFmtId="0" fontId="12" fillId="0" borderId="7" applyNumberFormat="0" applyFill="0" applyBorder="0" applyProtection="0">
      <alignment vertical="top" wrapText="1"/>
    </xf>
    <xf numFmtId="9" fontId="3" fillId="0" borderId="7" applyFont="0" applyFill="0" applyBorder="0" applyAlignment="0" applyProtection="0"/>
    <xf numFmtId="0" fontId="3" fillId="0" borderId="7" applyNumberFormat="0" applyFill="0" applyBorder="0" applyProtection="0">
      <alignment vertical="top" wrapText="1"/>
    </xf>
    <xf numFmtId="0" fontId="3" fillId="0" borderId="7" applyNumberFormat="0" applyFill="0" applyBorder="0" applyProtection="0">
      <alignment vertical="top" wrapText="1"/>
    </xf>
    <xf numFmtId="44" fontId="3" fillId="0" borderId="7" applyFont="0" applyFill="0" applyBorder="0" applyAlignment="0" applyProtection="0"/>
    <xf numFmtId="0" fontId="2" fillId="0" borderId="7"/>
    <xf numFmtId="0" fontId="36" fillId="0" borderId="7" applyNumberFormat="0" applyFill="0" applyBorder="0" applyProtection="0">
      <alignment vertical="top" wrapText="1"/>
    </xf>
    <xf numFmtId="0" fontId="3" fillId="0" borderId="7" applyNumberFormat="0" applyFill="0" applyBorder="0" applyProtection="0">
      <alignment vertical="top" wrapText="1"/>
    </xf>
  </cellStyleXfs>
  <cellXfs count="284">
    <xf numFmtId="0" fontId="0" fillId="0" borderId="0" xfId="0">
      <alignment vertical="top" wrapText="1"/>
    </xf>
    <xf numFmtId="0" fontId="3" fillId="0" borderId="0" xfId="0" applyNumberFormat="1" applyFont="1">
      <alignment vertical="top" wrapText="1"/>
    </xf>
    <xf numFmtId="0" fontId="4" fillId="2" borderId="2" xfId="0" applyNumberFormat="1" applyFont="1" applyFill="1" applyBorder="1" applyAlignment="1">
      <alignment horizontal="center" wrapText="1"/>
    </xf>
    <xf numFmtId="0" fontId="8" fillId="2" borderId="1" xfId="0" applyNumberFormat="1" applyFont="1" applyFill="1" applyBorder="1" applyAlignment="1">
      <alignment horizontal="center"/>
    </xf>
    <xf numFmtId="0" fontId="8" fillId="2" borderId="2" xfId="0" applyNumberFormat="1" applyFont="1" applyFill="1" applyBorder="1" applyAlignment="1">
      <alignment horizontal="center"/>
    </xf>
    <xf numFmtId="0" fontId="9" fillId="0" borderId="5" xfId="0" applyNumberFormat="1" applyFont="1" applyBorder="1" applyAlignment="1"/>
    <xf numFmtId="1" fontId="9" fillId="0" borderId="3" xfId="0" applyNumberFormat="1" applyFont="1" applyBorder="1" applyAlignment="1"/>
    <xf numFmtId="1" fontId="9" fillId="0" borderId="6" xfId="0" applyNumberFormat="1" applyFont="1" applyBorder="1" applyAlignment="1"/>
    <xf numFmtId="0" fontId="8" fillId="2" borderId="7" xfId="0" applyNumberFormat="1" applyFont="1" applyFill="1" applyBorder="1" applyAlignment="1"/>
    <xf numFmtId="0" fontId="0" fillId="0" borderId="0" xfId="0" applyNumberFormat="1">
      <alignment vertical="top" wrapText="1"/>
    </xf>
    <xf numFmtId="0" fontId="10" fillId="0" borderId="11" xfId="0" applyFont="1" applyBorder="1" applyAlignment="1"/>
    <xf numFmtId="166" fontId="9" fillId="0" borderId="4" xfId="0" applyNumberFormat="1" applyFont="1" applyBorder="1" applyAlignment="1"/>
    <xf numFmtId="0" fontId="11" fillId="0" borderId="12" xfId="0" applyFont="1" applyBorder="1" applyAlignment="1"/>
    <xf numFmtId="164" fontId="9" fillId="0" borderId="8" xfId="0" applyNumberFormat="1" applyFont="1" applyBorder="1" applyAlignment="1"/>
    <xf numFmtId="1" fontId="9" fillId="0" borderId="14" xfId="0" applyNumberFormat="1" applyFont="1" applyBorder="1" applyAlignment="1"/>
    <xf numFmtId="164" fontId="9" fillId="2" borderId="10" xfId="0" applyNumberFormat="1" applyFont="1" applyFill="1" applyBorder="1" applyAlignment="1"/>
    <xf numFmtId="0" fontId="10" fillId="0" borderId="15" xfId="0" applyFont="1" applyBorder="1" applyAlignment="1"/>
    <xf numFmtId="164" fontId="9" fillId="0" borderId="15" xfId="0" applyNumberFormat="1" applyFont="1" applyBorder="1" applyAlignment="1"/>
    <xf numFmtId="9" fontId="13" fillId="0" borderId="7" xfId="1958" applyFont="1"/>
    <xf numFmtId="3" fontId="12" fillId="0" borderId="7" xfId="1957" applyNumberFormat="1" applyAlignment="1"/>
    <xf numFmtId="9" fontId="0" fillId="0" borderId="7" xfId="1958" applyFont="1" applyAlignment="1"/>
    <xf numFmtId="0" fontId="3" fillId="0" borderId="7" xfId="1959" applyAlignment="1"/>
    <xf numFmtId="3" fontId="14" fillId="0" borderId="7" xfId="1959" applyNumberFormat="1" applyFont="1" applyAlignment="1">
      <alignment horizontal="center"/>
    </xf>
    <xf numFmtId="0" fontId="3" fillId="4" borderId="7" xfId="1959" applyFill="1" applyAlignment="1"/>
    <xf numFmtId="3" fontId="15" fillId="0" borderId="7" xfId="1959" applyNumberFormat="1" applyFont="1" applyAlignment="1">
      <alignment horizontal="center"/>
    </xf>
    <xf numFmtId="3" fontId="16" fillId="0" borderId="7" xfId="1959" applyNumberFormat="1" applyFont="1" applyAlignment="1">
      <alignment horizontal="center"/>
    </xf>
    <xf numFmtId="0" fontId="13" fillId="0" borderId="7" xfId="1959" applyFont="1" applyAlignment="1"/>
    <xf numFmtId="1" fontId="18" fillId="0" borderId="7" xfId="1959" applyNumberFormat="1" applyFont="1" applyAlignment="1"/>
    <xf numFmtId="0" fontId="18" fillId="0" borderId="7" xfId="1959" applyFont="1" applyAlignment="1"/>
    <xf numFmtId="3" fontId="17" fillId="0" borderId="7" xfId="1959" applyNumberFormat="1" applyFont="1" applyAlignment="1">
      <alignment horizontal="right"/>
    </xf>
    <xf numFmtId="0" fontId="17" fillId="4" borderId="7" xfId="1959" applyFont="1" applyFill="1" applyAlignment="1"/>
    <xf numFmtId="0" fontId="17" fillId="0" borderId="7" xfId="1959" applyFont="1" applyAlignment="1"/>
    <xf numFmtId="1" fontId="12" fillId="0" borderId="7" xfId="1957" applyNumberFormat="1" applyAlignment="1">
      <alignment horizontal="right"/>
    </xf>
    <xf numFmtId="3" fontId="3" fillId="0" borderId="7" xfId="1959" applyNumberFormat="1" applyAlignment="1"/>
    <xf numFmtId="0" fontId="19" fillId="0" borderId="7" xfId="1959" applyFont="1" applyAlignment="1"/>
    <xf numFmtId="3" fontId="20" fillId="0" borderId="7" xfId="1955" applyNumberFormat="1" applyFont="1" applyBorder="1" applyAlignment="1">
      <alignment horizontal="center"/>
    </xf>
    <xf numFmtId="9" fontId="20" fillId="0" borderId="7" xfId="1956" applyFont="1" applyBorder="1" applyAlignment="1">
      <alignment horizontal="center"/>
    </xf>
    <xf numFmtId="0" fontId="18" fillId="0" borderId="0" xfId="0" applyFont="1" applyAlignment="1">
      <alignment horizontal="right" vertical="top" wrapText="1"/>
    </xf>
    <xf numFmtId="0" fontId="0" fillId="0" borderId="0" xfId="0" applyAlignment="1">
      <alignment horizontal="center" vertical="top" wrapText="1"/>
    </xf>
    <xf numFmtId="0" fontId="18" fillId="0" borderId="0" xfId="0" applyFont="1" applyAlignment="1">
      <alignment horizontal="center" vertical="center" wrapText="1"/>
    </xf>
    <xf numFmtId="0" fontId="18" fillId="0" borderId="20" xfId="0" applyFont="1" applyBorder="1" applyAlignment="1">
      <alignment horizontal="right" vertical="top" wrapText="1"/>
    </xf>
    <xf numFmtId="0" fontId="0" fillId="0" borderId="20" xfId="0" applyBorder="1" applyAlignment="1">
      <alignment horizontal="center" vertical="top" wrapText="1"/>
    </xf>
    <xf numFmtId="0" fontId="18" fillId="0" borderId="7" xfId="0" applyFont="1" applyFill="1" applyBorder="1" applyAlignment="1">
      <alignment horizontal="right" vertical="top" wrapText="1"/>
    </xf>
    <xf numFmtId="168" fontId="0" fillId="0" borderId="0" xfId="0" applyNumberFormat="1" applyAlignment="1">
      <alignment horizontal="center" vertical="top" wrapText="1"/>
    </xf>
    <xf numFmtId="0" fontId="3" fillId="0" borderId="0" xfId="0" applyFont="1" applyAlignment="1">
      <alignment vertical="top"/>
    </xf>
    <xf numFmtId="9" fontId="13" fillId="0" borderId="7" xfId="1958" applyFont="1" applyAlignment="1">
      <alignment horizontal="center"/>
    </xf>
    <xf numFmtId="3" fontId="17" fillId="0" borderId="7" xfId="1959" applyNumberFormat="1" applyFont="1" applyAlignment="1">
      <alignment horizontal="center"/>
    </xf>
    <xf numFmtId="9" fontId="0" fillId="0" borderId="7" xfId="1958" applyFont="1" applyAlignment="1">
      <alignment horizontal="center"/>
    </xf>
    <xf numFmtId="3" fontId="3" fillId="0" borderId="7" xfId="1959" applyNumberFormat="1" applyAlignment="1">
      <alignment horizontal="center"/>
    </xf>
    <xf numFmtId="3" fontId="12" fillId="0" borderId="7" xfId="1957" applyNumberFormat="1" applyAlignment="1">
      <alignment horizontal="right"/>
    </xf>
    <xf numFmtId="0" fontId="17" fillId="4" borderId="7" xfId="1959" applyFont="1" applyFill="1" applyAlignment="1">
      <alignment horizontal="center"/>
    </xf>
    <xf numFmtId="0" fontId="4" fillId="6" borderId="1" xfId="1959" applyNumberFormat="1" applyFont="1" applyFill="1" applyBorder="1" applyAlignment="1">
      <alignment horizontal="center" wrapText="1"/>
    </xf>
    <xf numFmtId="0" fontId="4" fillId="6" borderId="8" xfId="1959" applyNumberFormat="1" applyFont="1" applyFill="1" applyBorder="1" applyAlignment="1">
      <alignment horizontal="center" wrapText="1"/>
    </xf>
    <xf numFmtId="0" fontId="4" fillId="6" borderId="2" xfId="1959" applyNumberFormat="1" applyFont="1" applyFill="1" applyBorder="1" applyAlignment="1">
      <alignment horizontal="center" wrapText="1"/>
    </xf>
    <xf numFmtId="4" fontId="4" fillId="6" borderId="2" xfId="1959" applyNumberFormat="1" applyFont="1" applyFill="1" applyBorder="1" applyAlignment="1">
      <alignment horizontal="center" wrapText="1"/>
    </xf>
    <xf numFmtId="0" fontId="4" fillId="7" borderId="2" xfId="1959" applyNumberFormat="1" applyFont="1" applyFill="1" applyBorder="1" applyAlignment="1">
      <alignment horizontal="center" wrapText="1"/>
    </xf>
    <xf numFmtId="3" fontId="4" fillId="6" borderId="2" xfId="1959" applyNumberFormat="1" applyFont="1" applyFill="1" applyBorder="1" applyAlignment="1">
      <alignment horizontal="center" wrapText="1"/>
    </xf>
    <xf numFmtId="0" fontId="4" fillId="2" borderId="2" xfId="1959" applyNumberFormat="1" applyFont="1" applyFill="1" applyBorder="1" applyAlignment="1">
      <alignment horizontal="center"/>
    </xf>
    <xf numFmtId="0" fontId="3" fillId="0" borderId="7" xfId="1959" applyNumberFormat="1">
      <alignment vertical="top" wrapText="1"/>
    </xf>
    <xf numFmtId="0" fontId="4" fillId="2" borderId="21" xfId="1959" applyNumberFormat="1" applyFont="1" applyFill="1" applyBorder="1" applyAlignment="1">
      <alignment horizontal="center" wrapText="1"/>
    </xf>
    <xf numFmtId="0" fontId="4" fillId="2" borderId="8" xfId="1959" applyNumberFormat="1" applyFont="1" applyFill="1" applyBorder="1" applyAlignment="1">
      <alignment horizontal="center" wrapText="1"/>
    </xf>
    <xf numFmtId="0" fontId="21" fillId="2" borderId="8" xfId="1959" applyNumberFormat="1" applyFont="1" applyFill="1" applyBorder="1" applyAlignment="1">
      <alignment horizontal="center" wrapText="1"/>
    </xf>
    <xf numFmtId="3" fontId="4" fillId="2" borderId="8" xfId="1959" applyNumberFormat="1" applyFont="1" applyFill="1" applyBorder="1" applyAlignment="1">
      <alignment horizontal="center" wrapText="1"/>
    </xf>
    <xf numFmtId="0" fontId="4" fillId="2" borderId="8" xfId="1959" applyNumberFormat="1" applyFont="1" applyFill="1" applyBorder="1" applyAlignment="1">
      <alignment horizontal="center"/>
    </xf>
    <xf numFmtId="0" fontId="9" fillId="0" borderId="23" xfId="1959" applyNumberFormat="1" applyFont="1" applyBorder="1" applyAlignment="1"/>
    <xf numFmtId="0" fontId="10" fillId="0" borderId="24" xfId="1959" applyFont="1" applyBorder="1" applyAlignment="1"/>
    <xf numFmtId="169" fontId="9" fillId="3" borderId="25" xfId="1959" applyNumberFormat="1" applyFont="1" applyFill="1" applyBorder="1" applyAlignment="1"/>
    <xf numFmtId="164" fontId="9" fillId="0" borderId="25" xfId="1959" applyNumberFormat="1" applyFont="1" applyBorder="1" applyAlignment="1"/>
    <xf numFmtId="3" fontId="9" fillId="0" borderId="25" xfId="1959" applyNumberFormat="1" applyFont="1" applyBorder="1" applyAlignment="1"/>
    <xf numFmtId="164" fontId="9" fillId="3" borderId="25" xfId="1959" applyNumberFormat="1" applyFont="1" applyFill="1" applyBorder="1" applyAlignment="1"/>
    <xf numFmtId="170" fontId="9" fillId="0" borderId="25" xfId="1959" applyNumberFormat="1" applyFont="1" applyBorder="1" applyAlignment="1"/>
    <xf numFmtId="1" fontId="4" fillId="0" borderId="9" xfId="1959" applyNumberFormat="1" applyFont="1" applyBorder="1" applyAlignment="1"/>
    <xf numFmtId="0" fontId="22" fillId="0" borderId="26" xfId="1959" applyFont="1" applyBorder="1" applyAlignment="1"/>
    <xf numFmtId="1" fontId="4" fillId="0" borderId="27" xfId="1959" applyNumberFormat="1" applyFont="1" applyBorder="1" applyAlignment="1"/>
    <xf numFmtId="0" fontId="18" fillId="0" borderId="7" xfId="1959" applyNumberFormat="1" applyFont="1">
      <alignment vertical="top" wrapText="1"/>
    </xf>
    <xf numFmtId="1" fontId="9" fillId="0" borderId="6" xfId="1959" applyNumberFormat="1" applyFont="1" applyBorder="1" applyAlignment="1"/>
    <xf numFmtId="0" fontId="4" fillId="2" borderId="7" xfId="1959" applyNumberFormat="1" applyFont="1" applyFill="1" applyBorder="1" applyAlignment="1"/>
    <xf numFmtId="0" fontId="9" fillId="0" borderId="29" xfId="1959" applyNumberFormat="1" applyFont="1" applyBorder="1" applyAlignment="1"/>
    <xf numFmtId="1" fontId="9" fillId="0" borderId="4" xfId="1959" applyNumberFormat="1" applyFont="1" applyBorder="1" applyAlignment="1"/>
    <xf numFmtId="1" fontId="9" fillId="0" borderId="9" xfId="1959" applyNumberFormat="1" applyFont="1" applyBorder="1" applyAlignment="1"/>
    <xf numFmtId="9" fontId="9" fillId="0" borderId="16" xfId="1958" applyFont="1" applyBorder="1" applyAlignment="1"/>
    <xf numFmtId="164" fontId="9" fillId="0" borderId="16" xfId="1959" applyNumberFormat="1" applyFont="1" applyBorder="1" applyAlignment="1"/>
    <xf numFmtId="4" fontId="9" fillId="0" borderId="9" xfId="1959" applyNumberFormat="1" applyFont="1" applyBorder="1" applyAlignment="1"/>
    <xf numFmtId="9" fontId="9" fillId="0" borderId="9" xfId="1958" applyFont="1" applyBorder="1" applyAlignment="1"/>
    <xf numFmtId="3" fontId="9" fillId="0" borderId="9" xfId="1959" applyNumberFormat="1" applyFont="1" applyBorder="1" applyAlignment="1"/>
    <xf numFmtId="166" fontId="9" fillId="0" borderId="9" xfId="1959" applyNumberFormat="1" applyFont="1" applyBorder="1" applyAlignment="1"/>
    <xf numFmtId="8" fontId="9" fillId="0" borderId="9" xfId="1959" applyNumberFormat="1" applyFont="1" applyBorder="1" applyAlignment="1"/>
    <xf numFmtId="164" fontId="3" fillId="0" borderId="7" xfId="1959" applyNumberFormat="1">
      <alignment vertical="top" wrapText="1"/>
    </xf>
    <xf numFmtId="4" fontId="3" fillId="0" borderId="7" xfId="1959" applyNumberFormat="1">
      <alignment vertical="top" wrapText="1"/>
    </xf>
    <xf numFmtId="172" fontId="3" fillId="0" borderId="7" xfId="1959" applyNumberFormat="1">
      <alignment vertical="top" wrapText="1"/>
    </xf>
    <xf numFmtId="3" fontId="3" fillId="0" borderId="7" xfId="1959" applyNumberFormat="1">
      <alignment vertical="top" wrapText="1"/>
    </xf>
    <xf numFmtId="0" fontId="3" fillId="0" borderId="7" xfId="1959">
      <alignment vertical="top" wrapText="1"/>
    </xf>
    <xf numFmtId="0" fontId="3" fillId="0" borderId="7" xfId="1959" applyNumberFormat="1" applyFill="1">
      <alignment vertical="top" wrapText="1"/>
    </xf>
    <xf numFmtId="9" fontId="3" fillId="0" borderId="7" xfId="1958" applyFont="1" applyBorder="1" applyAlignment="1">
      <alignment vertical="top" wrapText="1"/>
    </xf>
    <xf numFmtId="9" fontId="3" fillId="0" borderId="7" xfId="1959" applyNumberFormat="1">
      <alignment vertical="top" wrapText="1"/>
    </xf>
    <xf numFmtId="44" fontId="3" fillId="0" borderId="7" xfId="1959" applyNumberFormat="1">
      <alignment vertical="top" wrapText="1"/>
    </xf>
    <xf numFmtId="173" fontId="3" fillId="0" borderId="7" xfId="1959" applyNumberFormat="1">
      <alignment vertical="top" wrapText="1"/>
    </xf>
    <xf numFmtId="10" fontId="3" fillId="0" borderId="7" xfId="1959" applyNumberFormat="1">
      <alignment vertical="top" wrapText="1"/>
    </xf>
    <xf numFmtId="10" fontId="3" fillId="0" borderId="7" xfId="1958" applyNumberFormat="1" applyFont="1" applyAlignment="1">
      <alignment vertical="top" wrapText="1"/>
    </xf>
    <xf numFmtId="9" fontId="3" fillId="0" borderId="7" xfId="1958" applyFont="1" applyAlignment="1">
      <alignment vertical="top" wrapText="1"/>
    </xf>
    <xf numFmtId="0" fontId="4" fillId="8" borderId="2" xfId="1959" applyNumberFormat="1" applyFont="1" applyFill="1" applyBorder="1" applyAlignment="1">
      <alignment horizontal="center" wrapText="1"/>
    </xf>
    <xf numFmtId="0" fontId="10" fillId="0" borderId="30" xfId="1959" applyFont="1" applyBorder="1" applyAlignment="1"/>
    <xf numFmtId="169" fontId="9" fillId="3" borderId="22" xfId="1959" applyNumberFormat="1" applyFont="1" applyFill="1" applyBorder="1" applyAlignment="1"/>
    <xf numFmtId="167" fontId="9" fillId="3" borderId="22" xfId="1959" applyNumberFormat="1" applyFont="1" applyFill="1" applyBorder="1" applyAlignment="1"/>
    <xf numFmtId="164" fontId="9" fillId="3" borderId="22" xfId="1959" applyNumberFormat="1" applyFont="1" applyFill="1" applyBorder="1" applyAlignment="1"/>
    <xf numFmtId="164" fontId="9" fillId="0" borderId="22" xfId="1959" applyNumberFormat="1" applyFont="1" applyBorder="1" applyAlignment="1"/>
    <xf numFmtId="170" fontId="9" fillId="0" borderId="22" xfId="1959" applyNumberFormat="1" applyFont="1" applyBorder="1" applyAlignment="1"/>
    <xf numFmtId="164" fontId="9" fillId="0" borderId="13" xfId="1959" applyNumberFormat="1" applyFont="1" applyBorder="1" applyAlignment="1"/>
    <xf numFmtId="164" fontId="9" fillId="0" borderId="31" xfId="1959" applyNumberFormat="1" applyFont="1" applyBorder="1" applyAlignment="1"/>
    <xf numFmtId="5" fontId="9" fillId="0" borderId="10" xfId="1959" applyNumberFormat="1" applyFont="1" applyFill="1" applyBorder="1" applyAlignment="1">
      <alignment horizontal="center"/>
    </xf>
    <xf numFmtId="164" fontId="9" fillId="2" borderId="10" xfId="1959" applyNumberFormat="1" applyFont="1" applyFill="1" applyBorder="1" applyAlignment="1"/>
    <xf numFmtId="174" fontId="24" fillId="0" borderId="7" xfId="1958" applyNumberFormat="1" applyFont="1" applyBorder="1" applyAlignment="1">
      <alignment horizontal="center" vertical="top" wrapText="1"/>
    </xf>
    <xf numFmtId="0" fontId="24" fillId="0" borderId="7" xfId="1959" applyNumberFormat="1" applyFont="1" applyAlignment="1">
      <alignment horizontal="center" vertical="top" wrapText="1"/>
    </xf>
    <xf numFmtId="9" fontId="24" fillId="0" borderId="7" xfId="1959" applyNumberFormat="1" applyFont="1" applyAlignment="1">
      <alignment horizontal="center" vertical="top" wrapText="1"/>
    </xf>
    <xf numFmtId="10" fontId="3" fillId="0" borderId="7" xfId="1958" applyNumberFormat="1" applyFont="1" applyBorder="1" applyAlignment="1">
      <alignment vertical="top" wrapText="1"/>
    </xf>
    <xf numFmtId="1" fontId="3" fillId="0" borderId="7" xfId="1959" applyNumberFormat="1" applyAlignment="1"/>
    <xf numFmtId="0" fontId="3" fillId="0" borderId="7" xfId="1959" applyNumberFormat="1" applyAlignment="1">
      <alignment horizontal="right" vertical="top" wrapText="1"/>
    </xf>
    <xf numFmtId="1" fontId="9" fillId="0" borderId="35" xfId="1959" applyNumberFormat="1" applyFont="1" applyBorder="1" applyAlignment="1"/>
    <xf numFmtId="0" fontId="4" fillId="9" borderId="36" xfId="1959" applyNumberFormat="1" applyFont="1" applyFill="1" applyBorder="1" applyAlignment="1">
      <alignment horizontal="center"/>
    </xf>
    <xf numFmtId="0" fontId="4" fillId="9" borderId="37" xfId="1959" applyNumberFormat="1" applyFont="1" applyFill="1" applyBorder="1" applyAlignment="1">
      <alignment horizontal="center"/>
    </xf>
    <xf numFmtId="0" fontId="4" fillId="0" borderId="7" xfId="1959" applyNumberFormat="1" applyFont="1" applyFill="1" applyBorder="1" applyAlignment="1">
      <alignment horizontal="right"/>
    </xf>
    <xf numFmtId="0" fontId="4" fillId="9" borderId="38" xfId="1959" applyNumberFormat="1" applyFont="1" applyFill="1" applyBorder="1" applyAlignment="1">
      <alignment vertical="center"/>
    </xf>
    <xf numFmtId="165" fontId="25" fillId="0" borderId="39" xfId="1961" applyNumberFormat="1" applyFont="1" applyBorder="1" applyAlignment="1">
      <alignment vertical="center"/>
    </xf>
    <xf numFmtId="165" fontId="9" fillId="0" borderId="40" xfId="1961" applyNumberFormat="1" applyFont="1" applyBorder="1" applyAlignment="1">
      <alignment vertical="center"/>
    </xf>
    <xf numFmtId="0" fontId="4" fillId="9" borderId="41" xfId="1959" applyNumberFormat="1" applyFont="1" applyFill="1" applyBorder="1" applyAlignment="1">
      <alignment vertical="center"/>
    </xf>
    <xf numFmtId="165" fontId="9" fillId="0" borderId="39" xfId="1961" applyNumberFormat="1" applyFont="1" applyBorder="1" applyAlignment="1">
      <alignment vertical="center"/>
    </xf>
    <xf numFmtId="165" fontId="21" fillId="0" borderId="40" xfId="1961" applyNumberFormat="1" applyFont="1" applyBorder="1" applyAlignment="1">
      <alignment vertical="center"/>
    </xf>
    <xf numFmtId="174" fontId="3" fillId="0" borderId="7" xfId="1958" applyNumberFormat="1" applyFont="1" applyAlignment="1">
      <alignment horizontal="right" vertical="top" wrapText="1"/>
    </xf>
    <xf numFmtId="165" fontId="9" fillId="3" borderId="39" xfId="1961" applyNumberFormat="1" applyFont="1" applyFill="1" applyBorder="1" applyAlignment="1">
      <alignment vertical="center"/>
    </xf>
    <xf numFmtId="174" fontId="3" fillId="0" borderId="7" xfId="1959" applyNumberFormat="1" applyAlignment="1">
      <alignment horizontal="right" vertical="top" wrapText="1"/>
    </xf>
    <xf numFmtId="165" fontId="21" fillId="0" borderId="40" xfId="1961" applyNumberFormat="1" applyFont="1" applyFill="1" applyBorder="1" applyAlignment="1">
      <alignment vertical="center"/>
    </xf>
    <xf numFmtId="0" fontId="4" fillId="9" borderId="17" xfId="1959" applyNumberFormat="1" applyFont="1" applyFill="1" applyBorder="1" applyAlignment="1">
      <alignment vertical="center"/>
    </xf>
    <xf numFmtId="172" fontId="4" fillId="9" borderId="19" xfId="1961" applyNumberFormat="1" applyFont="1" applyFill="1" applyBorder="1" applyAlignment="1">
      <alignment vertical="center"/>
    </xf>
    <xf numFmtId="172" fontId="4" fillId="9" borderId="42" xfId="1961" applyNumberFormat="1" applyFont="1" applyFill="1" applyBorder="1" applyAlignment="1">
      <alignment vertical="center"/>
    </xf>
    <xf numFmtId="0" fontId="4" fillId="3" borderId="43" xfId="1959" applyNumberFormat="1" applyFont="1" applyFill="1" applyBorder="1" applyAlignment="1">
      <alignment vertical="center"/>
    </xf>
    <xf numFmtId="172" fontId="4" fillId="3" borderId="7" xfId="1961" applyNumberFormat="1" applyFont="1" applyFill="1" applyBorder="1" applyAlignment="1">
      <alignment vertical="center"/>
    </xf>
    <xf numFmtId="172" fontId="4" fillId="3" borderId="44" xfId="1961" applyNumberFormat="1" applyFont="1" applyFill="1" applyBorder="1" applyAlignment="1">
      <alignment vertical="center"/>
    </xf>
    <xf numFmtId="0" fontId="4" fillId="10" borderId="28" xfId="1959" applyNumberFormat="1" applyFont="1" applyFill="1" applyBorder="1" applyAlignment="1">
      <alignment horizontal="right"/>
    </xf>
    <xf numFmtId="1" fontId="9" fillId="0" borderId="45" xfId="1959" applyNumberFormat="1" applyFont="1" applyBorder="1" applyAlignment="1"/>
    <xf numFmtId="0" fontId="4" fillId="2" borderId="46" xfId="1959" applyNumberFormat="1" applyFont="1" applyFill="1" applyBorder="1" applyAlignment="1">
      <alignment horizontal="center" wrapText="1"/>
    </xf>
    <xf numFmtId="0" fontId="4" fillId="2" borderId="15" xfId="1959" applyNumberFormat="1" applyFont="1" applyFill="1" applyBorder="1" applyAlignment="1">
      <alignment horizontal="center" wrapText="1"/>
    </xf>
    <xf numFmtId="0" fontId="4" fillId="2" borderId="47" xfId="1959" applyNumberFormat="1" applyFont="1" applyFill="1" applyBorder="1" applyAlignment="1">
      <alignment horizontal="center" wrapText="1"/>
    </xf>
    <xf numFmtId="0" fontId="3" fillId="0" borderId="7" xfId="1959" applyNumberFormat="1" applyAlignment="1"/>
    <xf numFmtId="0" fontId="3" fillId="0" borderId="7" xfId="1959" applyNumberFormat="1" applyAlignment="1">
      <alignment vertical="top"/>
    </xf>
    <xf numFmtId="0" fontId="9" fillId="0" borderId="15" xfId="1959" applyNumberFormat="1" applyFont="1" applyBorder="1" applyAlignment="1"/>
    <xf numFmtId="0" fontId="10" fillId="0" borderId="15" xfId="1959" applyFont="1" applyBorder="1" applyAlignment="1"/>
    <xf numFmtId="170" fontId="9" fillId="0" borderId="15" xfId="1959" applyNumberFormat="1" applyFont="1" applyBorder="1" applyAlignment="1"/>
    <xf numFmtId="164" fontId="9" fillId="0" borderId="15" xfId="1959" applyNumberFormat="1" applyFont="1" applyBorder="1" applyAlignment="1"/>
    <xf numFmtId="4" fontId="10" fillId="0" borderId="15" xfId="1959" applyNumberFormat="1" applyFont="1" applyBorder="1" applyAlignment="1"/>
    <xf numFmtId="169" fontId="9" fillId="3" borderId="15" xfId="1959" applyNumberFormat="1" applyFont="1" applyFill="1" applyBorder="1" applyAlignment="1"/>
    <xf numFmtId="6" fontId="3" fillId="0" borderId="7" xfId="1959" applyNumberFormat="1" applyAlignment="1">
      <alignment vertical="top"/>
    </xf>
    <xf numFmtId="0" fontId="27" fillId="0" borderId="7" xfId="1962" applyFont="1"/>
    <xf numFmtId="0" fontId="2" fillId="0" borderId="7" xfId="1962"/>
    <xf numFmtId="0" fontId="28" fillId="11" borderId="48" xfId="1962" applyFont="1" applyFill="1" applyBorder="1" applyAlignment="1">
      <alignment horizontal="center" vertical="center" wrapText="1"/>
    </xf>
    <xf numFmtId="0" fontId="28" fillId="12" borderId="48" xfId="1962" applyFont="1" applyFill="1" applyBorder="1" applyAlignment="1">
      <alignment horizontal="center" vertical="center" wrapText="1"/>
    </xf>
    <xf numFmtId="0" fontId="30" fillId="11" borderId="50" xfId="1962" applyFont="1" applyFill="1" applyBorder="1" applyAlignment="1">
      <alignment vertical="center" wrapText="1"/>
    </xf>
    <xf numFmtId="0" fontId="30" fillId="12" borderId="50" xfId="1962" applyFont="1" applyFill="1" applyBorder="1" applyAlignment="1">
      <alignment horizontal="left" vertical="center" wrapText="1"/>
    </xf>
    <xf numFmtId="0" fontId="30" fillId="12" borderId="50" xfId="1962" applyFont="1" applyFill="1" applyBorder="1" applyAlignment="1">
      <alignment horizontal="right" vertical="center" wrapText="1"/>
    </xf>
    <xf numFmtId="3" fontId="30" fillId="12" borderId="50" xfId="1962" applyNumberFormat="1" applyFont="1" applyFill="1" applyBorder="1" applyAlignment="1">
      <alignment horizontal="right" vertical="center" wrapText="1"/>
    </xf>
    <xf numFmtId="9" fontId="30" fillId="12" borderId="50" xfId="1962" applyNumberFormat="1" applyFont="1" applyFill="1" applyBorder="1" applyAlignment="1">
      <alignment horizontal="right" vertical="center" wrapText="1"/>
    </xf>
    <xf numFmtId="0" fontId="30" fillId="15" borderId="50" xfId="1962" applyFont="1" applyFill="1" applyBorder="1" applyAlignment="1">
      <alignment vertical="center" wrapText="1"/>
    </xf>
    <xf numFmtId="0" fontId="28" fillId="15" borderId="50" xfId="1962" applyFont="1" applyFill="1" applyBorder="1" applyAlignment="1">
      <alignment horizontal="center" vertical="center" wrapText="1"/>
    </xf>
    <xf numFmtId="4" fontId="20" fillId="5" borderId="7" xfId="1962" applyNumberFormat="1" applyFont="1" applyFill="1" applyAlignment="1">
      <alignment horizontal="center" vertical="center"/>
    </xf>
    <xf numFmtId="0" fontId="20" fillId="5" borderId="7" xfId="1962" applyFont="1" applyFill="1" applyAlignment="1">
      <alignment vertical="center"/>
    </xf>
    <xf numFmtId="0" fontId="2" fillId="5" borderId="7" xfId="1962" applyFill="1"/>
    <xf numFmtId="0" fontId="30" fillId="15" borderId="52" xfId="1962" applyFont="1" applyFill="1" applyBorder="1" applyAlignment="1">
      <alignment vertical="center" wrapText="1"/>
    </xf>
    <xf numFmtId="9" fontId="30" fillId="16" borderId="52" xfId="1962" applyNumberFormat="1" applyFont="1" applyFill="1" applyBorder="1" applyAlignment="1">
      <alignment horizontal="right" vertical="center" wrapText="1"/>
    </xf>
    <xf numFmtId="0" fontId="32" fillId="0" borderId="7" xfId="1962" applyFont="1"/>
    <xf numFmtId="0" fontId="4" fillId="2" borderId="1" xfId="1959" applyNumberFormat="1" applyFont="1" applyFill="1" applyBorder="1" applyAlignment="1">
      <alignment horizontal="center"/>
    </xf>
    <xf numFmtId="0" fontId="10" fillId="0" borderId="26" xfId="1959" applyFont="1" applyBorder="1" applyAlignment="1"/>
    <xf numFmtId="164" fontId="9" fillId="0" borderId="25" xfId="1959" applyNumberFormat="1" applyFont="1" applyBorder="1" applyAlignment="1">
      <alignment horizontal="left"/>
    </xf>
    <xf numFmtId="1" fontId="9" fillId="0" borderId="25" xfId="1959" applyNumberFormat="1" applyFont="1" applyBorder="1" applyAlignment="1"/>
    <xf numFmtId="1" fontId="9" fillId="0" borderId="53" xfId="1959" applyNumberFormat="1" applyFont="1" applyBorder="1" applyAlignment="1"/>
    <xf numFmtId="175" fontId="3" fillId="0" borderId="7" xfId="1959" applyNumberFormat="1">
      <alignment vertical="top" wrapText="1"/>
    </xf>
    <xf numFmtId="1" fontId="9" fillId="0" borderId="22" xfId="1959" applyNumberFormat="1" applyFont="1" applyBorder="1" applyAlignment="1"/>
    <xf numFmtId="1" fontId="9" fillId="0" borderId="3" xfId="1959" applyNumberFormat="1" applyFont="1" applyBorder="1" applyAlignment="1"/>
    <xf numFmtId="1" fontId="9" fillId="0" borderId="54" xfId="1959" applyNumberFormat="1" applyFont="1" applyBorder="1" applyAlignment="1"/>
    <xf numFmtId="164" fontId="9" fillId="2" borderId="1" xfId="1959" applyNumberFormat="1" applyFont="1" applyFill="1" applyBorder="1" applyAlignment="1"/>
    <xf numFmtId="176" fontId="30" fillId="16" borderId="50" xfId="1962" applyNumberFormat="1" applyFont="1" applyFill="1" applyBorder="1" applyAlignment="1">
      <alignment horizontal="right" vertical="center" wrapText="1"/>
    </xf>
    <xf numFmtId="176" fontId="20" fillId="0" borderId="7" xfId="1955" applyNumberFormat="1" applyFont="1" applyBorder="1" applyAlignment="1">
      <alignment horizontal="center"/>
    </xf>
    <xf numFmtId="9" fontId="3" fillId="0" borderId="7" xfId="1959" applyNumberFormat="1" applyAlignment="1"/>
    <xf numFmtId="177" fontId="30" fillId="16" borderId="50" xfId="1955" applyNumberFormat="1" applyFont="1" applyFill="1" applyBorder="1" applyAlignment="1">
      <alignment horizontal="right" vertical="center" wrapText="1"/>
    </xf>
    <xf numFmtId="0" fontId="4" fillId="2" borderId="22" xfId="1960" applyNumberFormat="1" applyFont="1" applyFill="1" applyBorder="1" applyAlignment="1">
      <alignment horizontal="center" wrapText="1"/>
    </xf>
    <xf numFmtId="0" fontId="4" fillId="2" borderId="55" xfId="1960" applyNumberFormat="1" applyFont="1" applyFill="1" applyBorder="1" applyAlignment="1">
      <alignment horizontal="center" wrapText="1"/>
    </xf>
    <xf numFmtId="0" fontId="21" fillId="2" borderId="55" xfId="1960" applyNumberFormat="1" applyFont="1" applyFill="1" applyBorder="1" applyAlignment="1">
      <alignment horizontal="center" wrapText="1"/>
    </xf>
    <xf numFmtId="3" fontId="4" fillId="5" borderId="55" xfId="1960" applyNumberFormat="1" applyFont="1" applyFill="1" applyBorder="1" applyAlignment="1">
      <alignment horizontal="center" wrapText="1"/>
    </xf>
    <xf numFmtId="0" fontId="4" fillId="6" borderId="55" xfId="1960" applyNumberFormat="1" applyFont="1" applyFill="1" applyBorder="1" applyAlignment="1">
      <alignment horizontal="center" wrapText="1"/>
    </xf>
    <xf numFmtId="0" fontId="21" fillId="2" borderId="55" xfId="1960" applyFont="1" applyFill="1" applyBorder="1" applyAlignment="1">
      <alignment horizontal="center" wrapText="1"/>
    </xf>
    <xf numFmtId="4" fontId="4" fillId="2" borderId="55" xfId="1960" applyNumberFormat="1" applyFont="1" applyFill="1" applyBorder="1" applyAlignment="1">
      <alignment horizontal="center" wrapText="1"/>
    </xf>
    <xf numFmtId="0" fontId="21" fillId="5" borderId="55" xfId="1959" applyNumberFormat="1" applyFont="1" applyFill="1" applyBorder="1" applyAlignment="1">
      <alignment horizontal="center" wrapText="1"/>
    </xf>
    <xf numFmtId="0" fontId="4" fillId="2" borderId="55" xfId="1959" applyNumberFormat="1" applyFont="1" applyFill="1" applyBorder="1" applyAlignment="1">
      <alignment horizontal="center" wrapText="1"/>
    </xf>
    <xf numFmtId="4" fontId="4" fillId="2" borderId="55" xfId="1959" applyNumberFormat="1" applyFont="1" applyFill="1" applyBorder="1" applyAlignment="1">
      <alignment horizontal="center" wrapText="1"/>
    </xf>
    <xf numFmtId="0" fontId="21" fillId="2" borderId="55" xfId="1959" applyNumberFormat="1" applyFont="1" applyFill="1" applyBorder="1" applyAlignment="1">
      <alignment horizontal="center" wrapText="1"/>
    </xf>
    <xf numFmtId="0" fontId="9" fillId="0" borderId="56" xfId="0" applyNumberFormat="1" applyFont="1" applyBorder="1" applyAlignment="1"/>
    <xf numFmtId="0" fontId="3" fillId="0" borderId="0" xfId="0" applyFont="1">
      <alignment vertical="top" wrapText="1"/>
    </xf>
    <xf numFmtId="43" fontId="20" fillId="0" borderId="7" xfId="1955" applyFont="1" applyBorder="1" applyAlignment="1">
      <alignment horizontal="center"/>
    </xf>
    <xf numFmtId="43" fontId="3" fillId="0" borderId="7" xfId="1959" applyNumberFormat="1" applyAlignment="1"/>
    <xf numFmtId="0" fontId="34" fillId="0" borderId="0" xfId="0" applyNumberFormat="1" applyFont="1" applyFill="1">
      <alignment vertical="top" wrapText="1"/>
    </xf>
    <xf numFmtId="0" fontId="35" fillId="0" borderId="0" xfId="0" applyNumberFormat="1" applyFont="1" applyFill="1">
      <alignment vertical="top" wrapText="1"/>
    </xf>
    <xf numFmtId="0" fontId="8" fillId="6" borderId="1" xfId="0" applyNumberFormat="1" applyFont="1" applyFill="1" applyBorder="1" applyAlignment="1">
      <alignment horizontal="center"/>
    </xf>
    <xf numFmtId="0" fontId="8" fillId="6" borderId="2" xfId="0" applyNumberFormat="1" applyFont="1" applyFill="1" applyBorder="1" applyAlignment="1">
      <alignment horizontal="center"/>
    </xf>
    <xf numFmtId="0" fontId="4" fillId="2" borderId="55" xfId="1960" applyFont="1" applyFill="1" applyBorder="1" applyAlignment="1">
      <alignment horizontal="center" wrapText="1"/>
    </xf>
    <xf numFmtId="0" fontId="4" fillId="6" borderId="2" xfId="1959" applyNumberFormat="1" applyFont="1" applyFill="1" applyBorder="1" applyAlignment="1">
      <alignment horizontal="center"/>
    </xf>
    <xf numFmtId="0" fontId="4" fillId="6" borderId="2" xfId="0" applyNumberFormat="1" applyFont="1" applyFill="1" applyBorder="1" applyAlignment="1">
      <alignment horizontal="center" wrapText="1"/>
    </xf>
    <xf numFmtId="0" fontId="4" fillId="6" borderId="2" xfId="0" applyNumberFormat="1" applyFont="1" applyFill="1" applyBorder="1" applyAlignment="1">
      <alignment horizontal="center"/>
    </xf>
    <xf numFmtId="0" fontId="3" fillId="0" borderId="7" xfId="1963" applyNumberFormat="1" applyFont="1">
      <alignment vertical="top" wrapText="1"/>
    </xf>
    <xf numFmtId="0" fontId="37" fillId="0" borderId="3" xfId="1964" applyNumberFormat="1" applyFont="1" applyFill="1" applyBorder="1">
      <alignment vertical="top" wrapText="1"/>
    </xf>
    <xf numFmtId="0" fontId="37" fillId="0" borderId="3" xfId="1963" applyNumberFormat="1" applyFont="1" applyFill="1" applyBorder="1">
      <alignment vertical="top" wrapText="1"/>
    </xf>
    <xf numFmtId="0" fontId="36" fillId="0" borderId="7" xfId="1963">
      <alignment vertical="top" wrapText="1"/>
    </xf>
    <xf numFmtId="0" fontId="4" fillId="5" borderId="1" xfId="1964" applyNumberFormat="1" applyFont="1" applyFill="1" applyBorder="1" applyAlignment="1">
      <alignment horizontal="center"/>
    </xf>
    <xf numFmtId="0" fontId="30" fillId="14" borderId="7" xfId="1962" applyFont="1" applyFill="1" applyAlignment="1">
      <alignment vertical="center" wrapText="1"/>
    </xf>
    <xf numFmtId="0" fontId="29" fillId="17" borderId="7" xfId="1962" applyFont="1" applyFill="1" applyAlignment="1">
      <alignment horizontal="left" vertical="center" wrapText="1"/>
    </xf>
    <xf numFmtId="0" fontId="2" fillId="0" borderId="7" xfId="1962" applyAlignment="1">
      <alignment horizontal="left"/>
    </xf>
    <xf numFmtId="0" fontId="1" fillId="0" borderId="7" xfId="1962" applyFont="1"/>
    <xf numFmtId="0" fontId="4" fillId="5" borderId="1" xfId="1963" applyNumberFormat="1" applyFont="1" applyFill="1" applyBorder="1" applyAlignment="1">
      <alignment horizontal="center"/>
    </xf>
    <xf numFmtId="0" fontId="4" fillId="5" borderId="2" xfId="1963" applyNumberFormat="1" applyFont="1" applyFill="1" applyBorder="1" applyAlignment="1">
      <alignment horizontal="center"/>
    </xf>
    <xf numFmtId="0" fontId="4" fillId="5" borderId="57" xfId="1963" applyNumberFormat="1" applyFont="1" applyFill="1" applyBorder="1" applyAlignment="1">
      <alignment horizontal="center"/>
    </xf>
    <xf numFmtId="172" fontId="3" fillId="0" borderId="7" xfId="1959" applyNumberFormat="1" applyFill="1">
      <alignment vertical="top" wrapText="1"/>
    </xf>
    <xf numFmtId="0" fontId="9" fillId="0" borderId="58" xfId="1959" applyNumberFormat="1" applyFont="1" applyBorder="1" applyAlignment="1"/>
    <xf numFmtId="0" fontId="10" fillId="0" borderId="58" xfId="1959" applyFont="1" applyBorder="1" applyAlignment="1"/>
    <xf numFmtId="4" fontId="10" fillId="0" borderId="58" xfId="1959" applyNumberFormat="1" applyFont="1" applyBorder="1" applyAlignment="1"/>
    <xf numFmtId="169" fontId="9" fillId="3" borderId="58" xfId="1959" applyNumberFormat="1" applyFont="1" applyFill="1" applyBorder="1" applyAlignment="1"/>
    <xf numFmtId="170" fontId="9" fillId="0" borderId="58" xfId="1959" applyNumberFormat="1" applyFont="1" applyBorder="1" applyAlignment="1"/>
    <xf numFmtId="164" fontId="9" fillId="0" borderId="58" xfId="1959" applyNumberFormat="1" applyFont="1" applyBorder="1" applyAlignment="1"/>
    <xf numFmtId="1" fontId="9" fillId="0" borderId="9" xfId="0" applyNumberFormat="1" applyFont="1" applyBorder="1" applyAlignment="1"/>
    <xf numFmtId="0" fontId="9" fillId="0" borderId="59" xfId="0" applyNumberFormat="1" applyFont="1" applyBorder="1" applyAlignment="1"/>
    <xf numFmtId="0" fontId="10" fillId="0" borderId="58" xfId="0" applyFont="1" applyBorder="1" applyAlignment="1"/>
    <xf numFmtId="164" fontId="9" fillId="0" borderId="58" xfId="0" applyNumberFormat="1" applyFont="1" applyBorder="1" applyAlignment="1"/>
    <xf numFmtId="3" fontId="4" fillId="0" borderId="9" xfId="1959" applyNumberFormat="1" applyFont="1" applyBorder="1" applyAlignment="1"/>
    <xf numFmtId="3" fontId="4" fillId="0" borderId="60" xfId="1959" applyNumberFormat="1" applyFont="1" applyBorder="1" applyAlignment="1"/>
    <xf numFmtId="164" fontId="4" fillId="0" borderId="19" xfId="1959" applyNumberFormat="1" applyFont="1" applyBorder="1" applyAlignment="1"/>
    <xf numFmtId="3" fontId="4" fillId="0" borderId="61" xfId="1959" applyNumberFormat="1" applyFont="1" applyBorder="1" applyAlignment="1"/>
    <xf numFmtId="3" fontId="4" fillId="0" borderId="16" xfId="1959" applyNumberFormat="1" applyFont="1" applyBorder="1" applyAlignment="1"/>
    <xf numFmtId="164" fontId="4" fillId="2" borderId="19" xfId="1959" applyNumberFormat="1" applyFont="1" applyFill="1" applyBorder="1" applyAlignment="1"/>
    <xf numFmtId="0" fontId="9" fillId="0" borderId="63" xfId="1959" applyNumberFormat="1" applyFont="1" applyBorder="1" applyAlignment="1"/>
    <xf numFmtId="0" fontId="10" fillId="0" borderId="64" xfId="1959" applyFont="1" applyBorder="1" applyAlignment="1"/>
    <xf numFmtId="169" fontId="9" fillId="3" borderId="65" xfId="1959" applyNumberFormat="1" applyFont="1" applyFill="1" applyBorder="1" applyAlignment="1"/>
    <xf numFmtId="164" fontId="9" fillId="0" borderId="65" xfId="1959" applyNumberFormat="1" applyFont="1" applyBorder="1" applyAlignment="1"/>
    <xf numFmtId="3" fontId="9" fillId="0" borderId="65" xfId="1959" applyNumberFormat="1" applyFont="1" applyBorder="1" applyAlignment="1"/>
    <xf numFmtId="170" fontId="9" fillId="0" borderId="65" xfId="1959" applyNumberFormat="1" applyFont="1" applyBorder="1" applyAlignment="1"/>
    <xf numFmtId="164" fontId="9" fillId="3" borderId="65" xfId="1959" applyNumberFormat="1" applyFont="1" applyFill="1" applyBorder="1" applyAlignment="1"/>
    <xf numFmtId="1" fontId="9" fillId="0" borderId="66" xfId="1959" applyNumberFormat="1" applyFont="1" applyBorder="1" applyAlignment="1"/>
    <xf numFmtId="0" fontId="10" fillId="0" borderId="70" xfId="1959" applyFont="1" applyBorder="1" applyAlignment="1"/>
    <xf numFmtId="169" fontId="9" fillId="3" borderId="31" xfId="1959" applyNumberFormat="1" applyFont="1" applyFill="1" applyBorder="1" applyAlignment="1"/>
    <xf numFmtId="167" fontId="9" fillId="3" borderId="31" xfId="1959" applyNumberFormat="1" applyFont="1" applyFill="1" applyBorder="1" applyAlignment="1"/>
    <xf numFmtId="164" fontId="9" fillId="3" borderId="31" xfId="1959" applyNumberFormat="1" applyFont="1" applyFill="1" applyBorder="1" applyAlignment="1"/>
    <xf numFmtId="170" fontId="9" fillId="0" borderId="31" xfId="1959" applyNumberFormat="1" applyFont="1" applyBorder="1" applyAlignment="1"/>
    <xf numFmtId="3" fontId="4" fillId="0" borderId="71" xfId="1959" applyNumberFormat="1" applyFont="1" applyBorder="1" applyAlignment="1"/>
    <xf numFmtId="171" fontId="4" fillId="0" borderId="17" xfId="1959" applyNumberFormat="1" applyFont="1" applyBorder="1" applyAlignment="1"/>
    <xf numFmtId="164" fontId="9" fillId="0" borderId="74" xfId="1959" applyNumberFormat="1" applyFont="1" applyBorder="1" applyAlignment="1"/>
    <xf numFmtId="164" fontId="4" fillId="0" borderId="17" xfId="1959" applyNumberFormat="1" applyFont="1" applyBorder="1" applyAlignment="1"/>
    <xf numFmtId="0" fontId="3" fillId="0" borderId="20" xfId="1959" applyNumberFormat="1" applyBorder="1" applyAlignment="1">
      <alignment horizontal="left" vertical="top" wrapText="1"/>
    </xf>
    <xf numFmtId="0" fontId="4" fillId="9" borderId="32" xfId="1959" applyNumberFormat="1" applyFont="1" applyFill="1" applyBorder="1" applyAlignment="1">
      <alignment horizontal="center"/>
    </xf>
    <xf numFmtId="1" fontId="4" fillId="9" borderId="33" xfId="1959" applyNumberFormat="1" applyFont="1" applyFill="1" applyBorder="1" applyAlignment="1">
      <alignment horizontal="center"/>
    </xf>
    <xf numFmtId="1" fontId="4" fillId="9" borderId="34" xfId="1959" applyNumberFormat="1" applyFont="1" applyFill="1" applyBorder="1" applyAlignment="1">
      <alignment horizontal="center"/>
    </xf>
    <xf numFmtId="2" fontId="4" fillId="10" borderId="28" xfId="1959" applyNumberFormat="1" applyFont="1" applyFill="1" applyBorder="1" applyAlignment="1">
      <alignment horizontal="center" vertical="center"/>
    </xf>
    <xf numFmtId="2" fontId="4" fillId="10" borderId="18" xfId="1959" applyNumberFormat="1" applyFont="1" applyFill="1" applyBorder="1" applyAlignment="1">
      <alignment horizontal="center" vertical="center"/>
    </xf>
    <xf numFmtId="0" fontId="0" fillId="0" borderId="0" xfId="0" applyNumberFormat="1">
      <alignment vertical="top" wrapText="1"/>
    </xf>
    <xf numFmtId="0" fontId="0" fillId="0" borderId="0" xfId="0">
      <alignment vertical="top" wrapText="1"/>
    </xf>
    <xf numFmtId="0" fontId="35" fillId="0" borderId="0" xfId="0" applyNumberFormat="1" applyFont="1" applyFill="1" applyAlignment="1">
      <alignment horizontal="left" vertical="top" wrapText="1"/>
    </xf>
    <xf numFmtId="164" fontId="4" fillId="3" borderId="62" xfId="1959" applyNumberFormat="1" applyFont="1" applyFill="1" applyBorder="1" applyAlignment="1">
      <alignment horizontal="center"/>
    </xf>
    <xf numFmtId="164" fontId="4" fillId="3" borderId="20" xfId="1959" applyNumberFormat="1" applyFont="1" applyFill="1" applyBorder="1" applyAlignment="1">
      <alignment horizontal="center"/>
    </xf>
    <xf numFmtId="0" fontId="23" fillId="0" borderId="7" xfId="1959" applyNumberFormat="1" applyFont="1">
      <alignment vertical="top" wrapText="1"/>
    </xf>
    <xf numFmtId="0" fontId="3" fillId="0" borderId="7" xfId="1959">
      <alignment vertical="top" wrapText="1"/>
    </xf>
    <xf numFmtId="9" fontId="9" fillId="0" borderId="72" xfId="1958" applyFont="1" applyBorder="1" applyAlignment="1">
      <alignment horizontal="center"/>
    </xf>
    <xf numFmtId="9" fontId="9" fillId="0" borderId="73" xfId="1958" applyFont="1" applyBorder="1" applyAlignment="1">
      <alignment horizontal="center"/>
    </xf>
    <xf numFmtId="172" fontId="3" fillId="0" borderId="7" xfId="1959" applyNumberFormat="1" applyAlignment="1">
      <alignment horizontal="center" vertical="top" wrapText="1"/>
    </xf>
    <xf numFmtId="5" fontId="9" fillId="0" borderId="67" xfId="1959" applyNumberFormat="1" applyFont="1" applyFill="1" applyBorder="1" applyAlignment="1">
      <alignment horizontal="center"/>
    </xf>
    <xf numFmtId="5" fontId="9" fillId="0" borderId="68" xfId="1959" applyNumberFormat="1" applyFont="1" applyFill="1" applyBorder="1" applyAlignment="1">
      <alignment horizontal="center"/>
    </xf>
    <xf numFmtId="5" fontId="9" fillId="0" borderId="69" xfId="1959" applyNumberFormat="1" applyFont="1" applyFill="1" applyBorder="1" applyAlignment="1">
      <alignment horizontal="center"/>
    </xf>
    <xf numFmtId="174" fontId="24" fillId="0" borderId="7" xfId="1958" applyNumberFormat="1" applyFont="1" applyBorder="1" applyAlignment="1">
      <alignment horizontal="center" vertical="top" wrapText="1"/>
    </xf>
    <xf numFmtId="9" fontId="9" fillId="0" borderId="75" xfId="1956" applyFont="1" applyBorder="1" applyAlignment="1">
      <alignment horizontal="center"/>
    </xf>
    <xf numFmtId="9" fontId="9" fillId="0" borderId="76" xfId="1956" applyFont="1" applyBorder="1" applyAlignment="1">
      <alignment horizontal="center"/>
    </xf>
    <xf numFmtId="172" fontId="3" fillId="0" borderId="77" xfId="1959" applyNumberFormat="1" applyBorder="1" applyAlignment="1">
      <alignment horizontal="center" vertical="top" wrapText="1"/>
    </xf>
    <xf numFmtId="0" fontId="29" fillId="13" borderId="7" xfId="1962" applyFont="1" applyFill="1" applyAlignment="1">
      <alignment horizontal="left" vertical="center" wrapText="1"/>
    </xf>
    <xf numFmtId="0" fontId="29" fillId="17" borderId="49" xfId="1962" applyFont="1" applyFill="1" applyBorder="1" applyAlignment="1">
      <alignment horizontal="left" vertical="center" wrapText="1"/>
    </xf>
    <xf numFmtId="0" fontId="33" fillId="0" borderId="7" xfId="1962" applyFont="1" applyAlignment="1">
      <alignment wrapText="1"/>
    </xf>
    <xf numFmtId="0" fontId="2" fillId="0" borderId="7" xfId="1962"/>
    <xf numFmtId="0" fontId="30" fillId="14" borderId="51" xfId="1962" applyFont="1" applyFill="1" applyBorder="1" applyAlignment="1">
      <alignment vertical="center" wrapText="1"/>
    </xf>
    <xf numFmtId="3" fontId="14" fillId="0" borderId="7" xfId="1959" applyNumberFormat="1" applyFont="1" applyAlignment="1">
      <alignment horizontal="center"/>
    </xf>
    <xf numFmtId="3" fontId="15" fillId="0" borderId="7" xfId="1959" applyNumberFormat="1" applyFont="1" applyAlignment="1">
      <alignment horizontal="center"/>
    </xf>
    <xf numFmtId="3" fontId="16" fillId="0" borderId="7" xfId="1959" applyNumberFormat="1" applyFont="1" applyAlignment="1">
      <alignment horizontal="center"/>
    </xf>
    <xf numFmtId="0" fontId="3" fillId="0" borderId="0" xfId="0" applyFont="1" applyAlignment="1">
      <alignment horizontal="left" vertical="top" wrapText="1"/>
    </xf>
    <xf numFmtId="0" fontId="0" fillId="0" borderId="0" xfId="0" applyAlignment="1">
      <alignment horizontal="left" vertical="top" wrapText="1"/>
    </xf>
  </cellXfs>
  <cellStyles count="1965">
    <cellStyle name="Comma" xfId="1955" builtinId="3"/>
    <cellStyle name="Currency 2" xfId="1961" xr:uid="{74A52FF6-B02F-4A17-A38C-7B1BDACC9A7E}"/>
    <cellStyle name="Followed Hyperlink" xfId="1" builtinId="9" hidden="1"/>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Normal" xfId="0" builtinId="0"/>
    <cellStyle name="Normal 2" xfId="1957" xr:uid="{20A9F1D7-0024-4696-B405-207141BEC8BF}"/>
    <cellStyle name="Normal 2 2" xfId="1959" xr:uid="{BB5C18D8-5B07-48A9-9DC6-F52C9DB28BA5}"/>
    <cellStyle name="Normal 3" xfId="1963" xr:uid="{B601449F-0975-43C0-93C2-1013E66277D7}"/>
    <cellStyle name="Normal 4" xfId="1960" xr:uid="{C052763E-8646-4E41-879C-F64831DB0185}"/>
    <cellStyle name="Normal 4 2" xfId="1962" xr:uid="{212524DB-AC75-4B2B-B348-D287129F8F72}"/>
    <cellStyle name="Normal 6" xfId="1964" xr:uid="{6DF7B3CA-4153-498B-8057-745B60941AB7}"/>
    <cellStyle name="Percent" xfId="1956" builtinId="5"/>
    <cellStyle name="Percent 2" xfId="1958" xr:uid="{75226A78-5995-4389-A6B3-ACF28F0B5C63}"/>
  </cellStyles>
  <dxfs count="0"/>
  <tableStyles count="0" defaultPivotStyle="PivotStyleMedium4"/>
  <colors>
    <indexedColors>
      <rgbColor rgb="FF000000"/>
      <rgbColor rgb="FFFFFFFF"/>
      <rgbColor rgb="FFFF0000"/>
      <rgbColor rgb="FF00FF00"/>
      <rgbColor rgb="FF0000FF"/>
      <rgbColor rgb="FFFFFF00"/>
      <rgbColor rgb="FFFF00FF"/>
      <rgbColor rgb="FF00FFFF"/>
      <rgbColor rgb="FF000000"/>
      <rgbColor rgb="FFAAAAAA"/>
      <rgbColor rgb="FFFFFF00"/>
      <rgbColor rgb="FF0000FF"/>
      <rgbColor rgb="FF92D050"/>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0F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28</xdr:row>
          <xdr:rowOff>444500</xdr:rowOff>
        </xdr:from>
        <xdr:to>
          <xdr:col>0</xdr:col>
          <xdr:colOff>914400</xdr:colOff>
          <xdr:row>28</xdr:row>
          <xdr:rowOff>673100</xdr:rowOff>
        </xdr:to>
        <xdr:sp macro="" textlink="">
          <xdr:nvSpPr>
            <xdr:cNvPr id="11265" name="Control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28</xdr:row>
          <xdr:rowOff>444500</xdr:rowOff>
        </xdr:from>
        <xdr:to>
          <xdr:col>0</xdr:col>
          <xdr:colOff>1327150</xdr:colOff>
          <xdr:row>28</xdr:row>
          <xdr:rowOff>673100</xdr:rowOff>
        </xdr:to>
        <xdr:sp macro="" textlink="">
          <xdr:nvSpPr>
            <xdr:cNvPr id="11266" name="Control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1"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1"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3.emf"/><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46841-8BA4-47C6-8A87-C512412F90D3}">
  <sheetPr>
    <tabColor rgb="FFFFFF00"/>
    <pageSetUpPr fitToPage="1"/>
  </sheetPr>
  <dimension ref="A1:IW12"/>
  <sheetViews>
    <sheetView showGridLines="0" tabSelected="1" workbookViewId="0">
      <selection sqref="A1:C1"/>
    </sheetView>
  </sheetViews>
  <sheetFormatPr defaultColWidth="6.59765625" defaultRowHeight="15" customHeight="1" x14ac:dyDescent="0.3"/>
  <cols>
    <col min="1" max="1" width="40.1328125" style="208" customWidth="1"/>
    <col min="2" max="2" width="37.86328125" style="205" customWidth="1"/>
    <col min="3" max="3" width="22.6640625" style="205" customWidth="1"/>
    <col min="4" max="4" width="22.59765625" style="205" customWidth="1"/>
    <col min="5" max="5" width="28.796875" style="205" customWidth="1"/>
    <col min="6" max="6" width="12.3984375" style="205" customWidth="1"/>
    <col min="7" max="7" width="16.796875" style="205" customWidth="1"/>
    <col min="8" max="8" width="7.6640625" style="205" customWidth="1"/>
    <col min="9" max="257" width="6.59765625" style="205" customWidth="1"/>
    <col min="258" max="16384" width="6.59765625" style="208"/>
  </cols>
  <sheetData>
    <row r="1" spans="1:8" ht="15" customHeight="1" thickBot="1" x14ac:dyDescent="0.35">
      <c r="A1" s="251" t="s">
        <v>114</v>
      </c>
      <c r="B1" s="251"/>
      <c r="C1" s="251"/>
    </row>
    <row r="2" spans="1:8" ht="15.75" customHeight="1" thickBot="1" x14ac:dyDescent="0.4">
      <c r="A2" s="209" t="s">
        <v>162</v>
      </c>
      <c r="B2" s="214" t="s">
        <v>163</v>
      </c>
      <c r="C2" s="215" t="s">
        <v>164</v>
      </c>
      <c r="D2" s="215" t="s">
        <v>165</v>
      </c>
      <c r="E2" s="215" t="s">
        <v>166</v>
      </c>
      <c r="F2" s="215" t="s">
        <v>167</v>
      </c>
      <c r="G2" s="215" t="s">
        <v>168</v>
      </c>
      <c r="H2" s="216" t="s">
        <v>169</v>
      </c>
    </row>
    <row r="3" spans="1:8" ht="232" x14ac:dyDescent="0.3">
      <c r="A3" s="206" t="s">
        <v>178</v>
      </c>
      <c r="B3" s="207" t="s">
        <v>179</v>
      </c>
      <c r="C3" s="207" t="s">
        <v>180</v>
      </c>
      <c r="D3" s="207" t="s">
        <v>181</v>
      </c>
      <c r="E3" s="207" t="s">
        <v>171</v>
      </c>
      <c r="F3" s="207" t="s">
        <v>189</v>
      </c>
      <c r="G3" s="207" t="s">
        <v>188</v>
      </c>
      <c r="H3" s="207" t="s">
        <v>170</v>
      </c>
    </row>
    <row r="4" spans="1:8" ht="17.25" customHeight="1" x14ac:dyDescent="0.3">
      <c r="B4" s="208"/>
      <c r="C4" s="208"/>
      <c r="D4" s="208"/>
      <c r="E4" s="208"/>
      <c r="F4" s="208"/>
      <c r="G4" s="208"/>
      <c r="H4" s="208"/>
    </row>
    <row r="5" spans="1:8" ht="17.25" customHeight="1" x14ac:dyDescent="0.3">
      <c r="B5" s="208"/>
      <c r="C5" s="208"/>
      <c r="D5" s="208"/>
      <c r="E5" s="208"/>
      <c r="F5" s="208"/>
      <c r="G5" s="208"/>
      <c r="H5" s="208"/>
    </row>
    <row r="6" spans="1:8" ht="17.25" customHeight="1" x14ac:dyDescent="0.3">
      <c r="B6" s="208"/>
      <c r="C6" s="208"/>
      <c r="D6" s="208"/>
      <c r="E6" s="208"/>
      <c r="F6" s="208"/>
      <c r="G6" s="208"/>
      <c r="H6" s="208"/>
    </row>
    <row r="7" spans="1:8" ht="17.25" customHeight="1" x14ac:dyDescent="0.3">
      <c r="B7" s="208"/>
      <c r="C7" s="208"/>
      <c r="D7" s="208"/>
      <c r="E7" s="208"/>
      <c r="F7" s="208"/>
      <c r="G7" s="208"/>
      <c r="H7" s="208"/>
    </row>
    <row r="8" spans="1:8" ht="17.25" customHeight="1" x14ac:dyDescent="0.3">
      <c r="B8" s="208"/>
      <c r="C8" s="208"/>
      <c r="D8" s="208"/>
      <c r="E8" s="208"/>
      <c r="F8" s="208"/>
      <c r="G8" s="208"/>
      <c r="H8" s="208"/>
    </row>
    <row r="9" spans="1:8" ht="17.25" customHeight="1" x14ac:dyDescent="0.3">
      <c r="B9" s="208"/>
      <c r="C9" s="208"/>
      <c r="D9" s="208"/>
      <c r="E9" s="208"/>
      <c r="F9" s="208"/>
      <c r="G9" s="208"/>
      <c r="H9" s="208"/>
    </row>
    <row r="10" spans="1:8" ht="17.25" customHeight="1" x14ac:dyDescent="0.3">
      <c r="B10" s="208"/>
      <c r="C10" s="208"/>
      <c r="D10" s="208"/>
      <c r="E10" s="208"/>
      <c r="F10" s="208"/>
      <c r="G10" s="208"/>
      <c r="H10" s="208"/>
    </row>
    <row r="11" spans="1:8" ht="17.25" customHeight="1" x14ac:dyDescent="0.3">
      <c r="B11" s="208"/>
      <c r="C11" s="208"/>
      <c r="D11" s="208"/>
      <c r="E11" s="208"/>
      <c r="F11" s="208"/>
      <c r="G11" s="208"/>
      <c r="H11" s="208"/>
    </row>
    <row r="12" spans="1:8" ht="15" customHeight="1" x14ac:dyDescent="0.3">
      <c r="B12" s="208"/>
      <c r="C12" s="208"/>
      <c r="D12" s="208"/>
      <c r="E12" s="208"/>
      <c r="F12" s="208"/>
      <c r="G12" s="208"/>
      <c r="H12" s="208"/>
    </row>
  </sheetData>
  <mergeCells count="1">
    <mergeCell ref="A1:C1"/>
  </mergeCells>
  <pageMargins left="0.75" right="0.75" top="1" bottom="1" header="0.5" footer="0.5"/>
  <pageSetup scale="50" orientation="portrait" horizontalDpi="4294967292" verticalDpi="4294967292" r:id="rId1"/>
  <headerFooter>
    <oddFooter>&amp;L&amp;"Helvetica,Regular"&amp;12&amp;K000000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60248-B0E5-48B8-8D8D-8C76D210CC66}">
  <sheetPr>
    <tabColor rgb="FFFF0000"/>
    <pageSetUpPr fitToPage="1"/>
  </sheetPr>
  <dimension ref="A1:IQ72"/>
  <sheetViews>
    <sheetView showGridLines="0" zoomScale="85" zoomScaleNormal="85" workbookViewId="0">
      <pane xSplit="2" ySplit="2" topLeftCell="C3" activePane="bottomRight" state="frozen"/>
      <selection activeCell="L2" sqref="L2"/>
      <selection pane="topRight" activeCell="L2" sqref="L2"/>
      <selection pane="bottomLeft" activeCell="L2" sqref="L2"/>
      <selection pane="bottomRight"/>
    </sheetView>
  </sheetViews>
  <sheetFormatPr defaultColWidth="26.6640625" defaultRowHeight="15" customHeight="1" x14ac:dyDescent="0.3"/>
  <cols>
    <col min="1" max="1" width="3.19921875" style="58" bestFit="1" customWidth="1"/>
    <col min="2" max="2" width="9.06640625" style="58" bestFit="1" customWidth="1"/>
    <col min="3" max="3" width="7.06640625" style="58" bestFit="1" customWidth="1"/>
    <col min="4" max="4" width="10.59765625" style="58" bestFit="1" customWidth="1"/>
    <col min="5" max="5" width="11.6640625" style="58" bestFit="1" customWidth="1"/>
    <col min="6" max="6" width="13.59765625" style="58" customWidth="1"/>
    <col min="7" max="7" width="20.33203125" style="58" customWidth="1"/>
    <col min="8" max="9" width="15" style="58" hidden="1" customWidth="1"/>
    <col min="10" max="10" width="12" style="90" bestFit="1" customWidth="1"/>
    <col min="11" max="11" width="16.46484375" style="58" customWidth="1"/>
    <col min="12" max="12" width="12" style="58" customWidth="1"/>
    <col min="13" max="13" width="13.06640625" style="58" customWidth="1"/>
    <col min="14" max="15" width="13.6640625" style="58" customWidth="1"/>
    <col min="16" max="16" width="13.19921875" style="58" customWidth="1"/>
    <col min="17" max="17" width="17.3984375" style="58" customWidth="1"/>
    <col min="18" max="18" width="10.46484375" style="58" customWidth="1"/>
    <col min="19" max="251" width="26.6640625" style="58" customWidth="1"/>
    <col min="252" max="16384" width="26.6640625" style="91"/>
  </cols>
  <sheetData>
    <row r="1" spans="1:18" ht="15.75" customHeight="1" thickBot="1" x14ac:dyDescent="0.4">
      <c r="A1" s="53" t="s">
        <v>3</v>
      </c>
      <c r="B1" s="53" t="s">
        <v>4</v>
      </c>
      <c r="C1" s="53" t="s">
        <v>5</v>
      </c>
      <c r="D1" s="53" t="s">
        <v>6</v>
      </c>
      <c r="E1" s="53" t="s">
        <v>7</v>
      </c>
      <c r="F1" s="53" t="s">
        <v>8</v>
      </c>
      <c r="G1" s="53" t="s">
        <v>35</v>
      </c>
      <c r="H1" s="100" t="s">
        <v>36</v>
      </c>
      <c r="I1" s="55" t="s">
        <v>37</v>
      </c>
      <c r="J1" s="53" t="s">
        <v>38</v>
      </c>
      <c r="K1" s="53" t="s">
        <v>39</v>
      </c>
      <c r="L1" s="53" t="s">
        <v>40</v>
      </c>
      <c r="M1" s="53" t="s">
        <v>41</v>
      </c>
      <c r="N1" s="53" t="s">
        <v>42</v>
      </c>
      <c r="O1" s="53" t="s">
        <v>43</v>
      </c>
      <c r="P1" s="53" t="s">
        <v>44</v>
      </c>
      <c r="Q1" s="53" t="s">
        <v>45</v>
      </c>
      <c r="R1" s="53" t="s">
        <v>46</v>
      </c>
    </row>
    <row r="2" spans="1:18" ht="145" x14ac:dyDescent="0.35">
      <c r="A2" s="59" t="s">
        <v>0</v>
      </c>
      <c r="B2" s="182" t="s">
        <v>124</v>
      </c>
      <c r="C2" s="183" t="s">
        <v>122</v>
      </c>
      <c r="D2" s="183" t="s">
        <v>52</v>
      </c>
      <c r="E2" s="183" t="s">
        <v>123</v>
      </c>
      <c r="F2" s="183" t="s">
        <v>155</v>
      </c>
      <c r="G2" s="184" t="s">
        <v>53</v>
      </c>
      <c r="H2" s="183" t="s">
        <v>54</v>
      </c>
      <c r="I2" s="183" t="s">
        <v>55</v>
      </c>
      <c r="J2" s="185" t="str">
        <f>'Rail Impact-Baseline (Inbound)'!J2</f>
        <v xml:space="preserve"> Gallons of Fuel Needed (MEDOT Average Fuel Consumption per Carload = 9 Gallons)</v>
      </c>
      <c r="K2" s="183" t="str">
        <f>'Truck Elimination (Inbound)'!O2</f>
        <v>Price/Gallon of Diesel Fuel (U.S. Energy Information Administration Annual Energy November 2022 Actuals, Held Constant to be Conservative)</v>
      </c>
      <c r="L2" s="186" t="s">
        <v>56</v>
      </c>
      <c r="M2" s="184" t="s">
        <v>125</v>
      </c>
      <c r="N2" s="184" t="s">
        <v>156</v>
      </c>
      <c r="O2" s="184" t="s">
        <v>157</v>
      </c>
      <c r="P2" s="184" t="s">
        <v>158</v>
      </c>
      <c r="Q2" s="60" t="s">
        <v>57</v>
      </c>
      <c r="R2" s="63" t="s">
        <v>2</v>
      </c>
    </row>
    <row r="3" spans="1:18" s="58" customFormat="1" ht="17.25" customHeight="1" x14ac:dyDescent="0.35">
      <c r="A3" s="101">
        <v>0</v>
      </c>
      <c r="B3" s="65">
        <v>2020</v>
      </c>
      <c r="C3" s="102"/>
      <c r="D3" s="102"/>
      <c r="E3" s="102"/>
      <c r="F3" s="103"/>
      <c r="G3" s="104"/>
      <c r="H3" s="105"/>
      <c r="I3" s="105"/>
      <c r="J3" s="102"/>
      <c r="K3" s="106"/>
      <c r="L3" s="105"/>
      <c r="M3" s="104"/>
      <c r="N3" s="69"/>
      <c r="O3" s="69"/>
      <c r="P3" s="69"/>
      <c r="Q3" s="105"/>
      <c r="R3" s="105"/>
    </row>
    <row r="4" spans="1:18" s="58" customFormat="1" ht="17.25" customHeight="1" x14ac:dyDescent="0.35">
      <c r="A4" s="101">
        <v>1</v>
      </c>
      <c r="B4" s="65">
        <v>2021</v>
      </c>
      <c r="C4" s="102"/>
      <c r="D4" s="102"/>
      <c r="E4" s="102"/>
      <c r="F4" s="103"/>
      <c r="G4" s="104"/>
      <c r="H4" s="105"/>
      <c r="I4" s="105"/>
      <c r="J4" s="102"/>
      <c r="K4" s="106"/>
      <c r="L4" s="105"/>
      <c r="M4" s="104"/>
      <c r="N4" s="69"/>
      <c r="O4" s="69"/>
      <c r="P4" s="69"/>
      <c r="Q4" s="105"/>
      <c r="R4" s="105"/>
    </row>
    <row r="5" spans="1:18" s="58" customFormat="1" ht="17.25" customHeight="1" x14ac:dyDescent="0.35">
      <c r="A5" s="101">
        <v>2</v>
      </c>
      <c r="B5" s="65">
        <v>2022</v>
      </c>
      <c r="C5" s="102"/>
      <c r="D5" s="102"/>
      <c r="E5" s="102"/>
      <c r="F5" s="103"/>
      <c r="G5" s="104"/>
      <c r="H5" s="105"/>
      <c r="I5" s="105"/>
      <c r="J5" s="102"/>
      <c r="K5" s="106"/>
      <c r="L5" s="105"/>
      <c r="M5" s="104"/>
      <c r="N5" s="69"/>
      <c r="O5" s="69"/>
      <c r="P5" s="69"/>
      <c r="Q5" s="105"/>
      <c r="R5" s="105"/>
    </row>
    <row r="6" spans="1:18" s="58" customFormat="1" ht="17.25" customHeight="1" x14ac:dyDescent="0.35">
      <c r="A6" s="101">
        <v>3</v>
      </c>
      <c r="B6" s="65">
        <v>2023</v>
      </c>
      <c r="C6" s="102"/>
      <c r="D6" s="102"/>
      <c r="E6" s="102"/>
      <c r="F6" s="103"/>
      <c r="G6" s="104"/>
      <c r="H6" s="105"/>
      <c r="I6" s="105"/>
      <c r="J6" s="102"/>
      <c r="K6" s="106"/>
      <c r="L6" s="105"/>
      <c r="M6" s="104"/>
      <c r="N6" s="69"/>
      <c r="O6" s="69"/>
      <c r="P6" s="69"/>
      <c r="Q6" s="105"/>
      <c r="R6" s="105"/>
    </row>
    <row r="7" spans="1:18" s="58" customFormat="1" ht="17.25" customHeight="1" x14ac:dyDescent="0.35">
      <c r="A7" s="101">
        <v>4</v>
      </c>
      <c r="B7" s="65">
        <v>2024</v>
      </c>
      <c r="C7" s="102"/>
      <c r="D7" s="102"/>
      <c r="E7" s="102"/>
      <c r="F7" s="103"/>
      <c r="G7" s="104"/>
      <c r="H7" s="105"/>
      <c r="I7" s="105"/>
      <c r="J7" s="102"/>
      <c r="K7" s="106"/>
      <c r="L7" s="105"/>
      <c r="M7" s="104"/>
      <c r="N7" s="69"/>
      <c r="O7" s="69"/>
      <c r="P7" s="69"/>
      <c r="Q7" s="105"/>
      <c r="R7" s="105"/>
    </row>
    <row r="8" spans="1:18" s="58" customFormat="1" ht="17.25" customHeight="1" x14ac:dyDescent="0.35">
      <c r="A8" s="101">
        <v>5</v>
      </c>
      <c r="B8" s="65">
        <v>2025</v>
      </c>
      <c r="C8" s="102"/>
      <c r="D8" s="102"/>
      <c r="E8" s="102"/>
      <c r="F8" s="103"/>
      <c r="G8" s="104"/>
      <c r="H8" s="105"/>
      <c r="I8" s="105"/>
      <c r="J8" s="102"/>
      <c r="K8" s="106"/>
      <c r="L8" s="105"/>
      <c r="M8" s="104"/>
      <c r="N8" s="69"/>
      <c r="O8" s="69"/>
      <c r="P8" s="69"/>
      <c r="Q8" s="105"/>
      <c r="R8" s="105"/>
    </row>
    <row r="9" spans="1:18" s="58" customFormat="1" ht="17.25" customHeight="1" x14ac:dyDescent="0.35">
      <c r="A9" s="101">
        <v>6</v>
      </c>
      <c r="B9" s="65">
        <v>2026</v>
      </c>
      <c r="C9" s="102">
        <f>'New Park Customer Carload Proj.'!B4</f>
        <v>250</v>
      </c>
      <c r="D9" s="102">
        <f>'New Park Customer Carload Proj.'!$J$2</f>
        <v>163</v>
      </c>
      <c r="E9" s="102">
        <f t="shared" ref="E9:E37" si="0">C9*D9*2</f>
        <v>81500</v>
      </c>
      <c r="F9" s="103">
        <f t="shared" ref="F9:F37" si="1">E9*84</f>
        <v>6846000</v>
      </c>
      <c r="G9" s="104">
        <f t="shared" ref="G9:G37" si="2">E9/100000000*0.47*11600000</f>
        <v>4443.3799999999992</v>
      </c>
      <c r="H9" s="105">
        <f t="shared" ref="H9:H37" si="3">F9*0.0003</f>
        <v>2053.7999999999997</v>
      </c>
      <c r="I9" s="105">
        <f t="shared" ref="I9:I37" si="4">F9*0.0006</f>
        <v>4107.5999999999995</v>
      </c>
      <c r="J9" s="102">
        <f>C9*9</f>
        <v>2250</v>
      </c>
      <c r="K9" s="106">
        <f>'Truck Elimination (Inbound)'!O9</f>
        <v>4.6500000000000004</v>
      </c>
      <c r="L9" s="105">
        <f t="shared" ref="L9:L37" si="5">J9*K9</f>
        <v>10462.5</v>
      </c>
      <c r="M9" s="104">
        <f t="shared" ref="M9:M37" si="6">E9*0.041</f>
        <v>3341.5</v>
      </c>
      <c r="N9" s="69">
        <f>E9*9.191*0.00220462/2000*16200</f>
        <v>13376.396596563003</v>
      </c>
      <c r="O9" s="69">
        <f>E9*0.215*0.00220462/2000*788100</f>
        <v>15222.330378997502</v>
      </c>
      <c r="P9" s="69">
        <f>E9*0.097*0.00220462/2000*44000</f>
        <v>383.42971502</v>
      </c>
      <c r="Q9" s="105">
        <f t="shared" ref="Q9:Q37" si="7">G9+L9+M9+N9+P9+O9</f>
        <v>47229.536690580506</v>
      </c>
      <c r="R9" s="105">
        <f>Q9/(1+0.07)^A9</f>
        <v>31471.034508224988</v>
      </c>
    </row>
    <row r="10" spans="1:18" s="58" customFormat="1" ht="17.25" customHeight="1" x14ac:dyDescent="0.35">
      <c r="A10" s="101">
        <v>7</v>
      </c>
      <c r="B10" s="65">
        <v>2027</v>
      </c>
      <c r="C10" s="102">
        <f>'New Park Customer Carload Proj.'!B5</f>
        <v>257.5</v>
      </c>
      <c r="D10" s="102">
        <f>'New Park Customer Carload Proj.'!$J$2</f>
        <v>163</v>
      </c>
      <c r="E10" s="102">
        <f t="shared" si="0"/>
        <v>83945</v>
      </c>
      <c r="F10" s="103">
        <f t="shared" si="1"/>
        <v>7051380</v>
      </c>
      <c r="G10" s="104">
        <f t="shared" si="2"/>
        <v>4576.6814000000004</v>
      </c>
      <c r="H10" s="105">
        <f t="shared" si="3"/>
        <v>2115.4139999999998</v>
      </c>
      <c r="I10" s="105">
        <f t="shared" si="4"/>
        <v>4230.8279999999995</v>
      </c>
      <c r="J10" s="102">
        <f t="shared" ref="J10:J38" si="8">C10*9</f>
        <v>2317.5</v>
      </c>
      <c r="K10" s="106">
        <f>'Truck Elimination (Inbound)'!O10</f>
        <v>4.6500000000000004</v>
      </c>
      <c r="L10" s="105">
        <f t="shared" si="5"/>
        <v>10776.375</v>
      </c>
      <c r="M10" s="104">
        <f t="shared" si="6"/>
        <v>3441.7450000000003</v>
      </c>
      <c r="N10" s="69">
        <f>E10*9.191*0.00220462/2000*16500</f>
        <v>14032.830873986928</v>
      </c>
      <c r="O10" s="69">
        <f>E10*0.215*0.00220462/2000*801700</f>
        <v>15949.567989833224</v>
      </c>
      <c r="P10" s="69">
        <f>E10*0.097*0.00220462/2000*44900</f>
        <v>403.01077342113501</v>
      </c>
      <c r="Q10" s="105">
        <f t="shared" si="7"/>
        <v>49180.211037241286</v>
      </c>
      <c r="R10" s="105">
        <f t="shared" ref="R10:R38" si="9">Q10/(1+0.07)^A10</f>
        <v>30626.963729271731</v>
      </c>
    </row>
    <row r="11" spans="1:18" s="58" customFormat="1" ht="17.25" customHeight="1" x14ac:dyDescent="0.35">
      <c r="A11" s="101">
        <v>8</v>
      </c>
      <c r="B11" s="65">
        <v>2028</v>
      </c>
      <c r="C11" s="102">
        <f>'New Park Customer Carload Proj.'!B6</f>
        <v>265.22500000000002</v>
      </c>
      <c r="D11" s="102">
        <f>'New Park Customer Carload Proj.'!$J$2</f>
        <v>163</v>
      </c>
      <c r="E11" s="102">
        <f t="shared" si="0"/>
        <v>86463.35</v>
      </c>
      <c r="F11" s="103">
        <f t="shared" si="1"/>
        <v>7262921.4000000004</v>
      </c>
      <c r="G11" s="104">
        <f t="shared" si="2"/>
        <v>4713.9818420000001</v>
      </c>
      <c r="H11" s="105">
        <f t="shared" si="3"/>
        <v>2178.8764200000001</v>
      </c>
      <c r="I11" s="105">
        <f t="shared" si="4"/>
        <v>4357.7528400000001</v>
      </c>
      <c r="J11" s="102">
        <f t="shared" si="8"/>
        <v>2387.0250000000001</v>
      </c>
      <c r="K11" s="106">
        <f>'Truck Elimination (Inbound)'!O11</f>
        <v>4.6500000000000004</v>
      </c>
      <c r="L11" s="105">
        <f t="shared" si="5"/>
        <v>11099.666250000002</v>
      </c>
      <c r="M11" s="104">
        <f t="shared" si="6"/>
        <v>3544.9973500000006</v>
      </c>
      <c r="N11" s="69">
        <f>E11*9.191*0.00220462/2000*16800</f>
        <v>14716.612451119381</v>
      </c>
      <c r="O11" s="69">
        <f>E11*0.215*0.00220462/2000*814500</f>
        <v>16690.346540539773</v>
      </c>
      <c r="P11" s="69">
        <f>E11*0.097*0.00220462/2000*45700</f>
        <v>422.49710725403668</v>
      </c>
      <c r="Q11" s="105">
        <f t="shared" si="7"/>
        <v>51188.101540913194</v>
      </c>
      <c r="R11" s="105">
        <f t="shared" si="9"/>
        <v>29791.941142211152</v>
      </c>
    </row>
    <row r="12" spans="1:18" s="58" customFormat="1" ht="17.25" customHeight="1" x14ac:dyDescent="0.35">
      <c r="A12" s="101">
        <v>9</v>
      </c>
      <c r="B12" s="65">
        <v>2029</v>
      </c>
      <c r="C12" s="102">
        <f>'New Park Customer Carload Proj.'!B7</f>
        <v>523.18174999999997</v>
      </c>
      <c r="D12" s="102">
        <f>'New Park Customer Carload Proj.'!$J$2</f>
        <v>163</v>
      </c>
      <c r="E12" s="102">
        <f t="shared" si="0"/>
        <v>170557.25049999999</v>
      </c>
      <c r="F12" s="103">
        <f t="shared" si="1"/>
        <v>14326809.041999999</v>
      </c>
      <c r="G12" s="104">
        <f t="shared" si="2"/>
        <v>9298.7812972599986</v>
      </c>
      <c r="H12" s="105">
        <f t="shared" si="3"/>
        <v>4298.0427125999995</v>
      </c>
      <c r="I12" s="105">
        <f t="shared" si="4"/>
        <v>8596.085425199999</v>
      </c>
      <c r="J12" s="102">
        <f t="shared" si="8"/>
        <v>4708.6357499999995</v>
      </c>
      <c r="K12" s="106">
        <f>'Truck Elimination (Inbound)'!O12</f>
        <v>4.6500000000000004</v>
      </c>
      <c r="L12" s="105">
        <f t="shared" si="5"/>
        <v>21895.156237499999</v>
      </c>
      <c r="M12" s="104">
        <f t="shared" si="6"/>
        <v>6992.8472705000004</v>
      </c>
      <c r="N12" s="69">
        <f>E12*9.191*0.00220462/2000*17100</f>
        <v>29548.321115909694</v>
      </c>
      <c r="O12" s="69">
        <f>E12*0.215*0.00220462/2000*827400</f>
        <v>33444.746619215541</v>
      </c>
      <c r="P12" s="69">
        <f>E12*0.097*0.00220462/2000*46500</f>
        <v>848.00540570333339</v>
      </c>
      <c r="Q12" s="105">
        <f t="shared" si="7"/>
        <v>102027.85794608857</v>
      </c>
      <c r="R12" s="105">
        <f t="shared" si="9"/>
        <v>55496.39462045976</v>
      </c>
    </row>
    <row r="13" spans="1:18" s="58" customFormat="1" ht="17.25" customHeight="1" x14ac:dyDescent="0.35">
      <c r="A13" s="101">
        <v>10</v>
      </c>
      <c r="B13" s="65">
        <v>2030</v>
      </c>
      <c r="C13" s="102">
        <f>'New Park Customer Carload Proj.'!B8</f>
        <v>538.87720249999995</v>
      </c>
      <c r="D13" s="102">
        <f>'New Park Customer Carload Proj.'!$J$2</f>
        <v>163</v>
      </c>
      <c r="E13" s="102">
        <f t="shared" si="0"/>
        <v>175673.96801499999</v>
      </c>
      <c r="F13" s="103">
        <f t="shared" si="1"/>
        <v>14756613.31326</v>
      </c>
      <c r="G13" s="104">
        <f t="shared" si="2"/>
        <v>9577.7447361777995</v>
      </c>
      <c r="H13" s="105">
        <f t="shared" si="3"/>
        <v>4426.9839939779995</v>
      </c>
      <c r="I13" s="105">
        <f t="shared" si="4"/>
        <v>8853.967987955999</v>
      </c>
      <c r="J13" s="102">
        <f t="shared" si="8"/>
        <v>4849.8948224999995</v>
      </c>
      <c r="K13" s="106">
        <f>'Truck Elimination (Inbound)'!O13</f>
        <v>4.6500000000000004</v>
      </c>
      <c r="L13" s="105">
        <f t="shared" si="5"/>
        <v>22552.010924624999</v>
      </c>
      <c r="M13" s="104">
        <f t="shared" si="6"/>
        <v>7202.632688615</v>
      </c>
      <c r="N13" s="69">
        <f>E13*9.191*0.00220462/2000*17400</f>
        <v>30968.714095867457</v>
      </c>
      <c r="O13" s="69">
        <f>E13*0.215*0.00220462/2000*840600</f>
        <v>34997.659691027264</v>
      </c>
      <c r="P13" s="69">
        <f>E13*0.097*0.00220462/2000*47300</f>
        <v>888.4725883970043</v>
      </c>
      <c r="Q13" s="105">
        <f t="shared" si="7"/>
        <v>106187.23472470953</v>
      </c>
      <c r="R13" s="105">
        <f t="shared" si="9"/>
        <v>53980.205606049218</v>
      </c>
    </row>
    <row r="14" spans="1:18" s="58" customFormat="1" ht="17.25" customHeight="1" x14ac:dyDescent="0.35">
      <c r="A14" s="101">
        <v>11</v>
      </c>
      <c r="B14" s="65">
        <v>2031</v>
      </c>
      <c r="C14" s="102">
        <f>'New Park Customer Carload Proj.'!B9</f>
        <v>555.04351857500001</v>
      </c>
      <c r="D14" s="102">
        <f>'New Park Customer Carload Proj.'!$J$2</f>
        <v>163</v>
      </c>
      <c r="E14" s="102">
        <f t="shared" si="0"/>
        <v>180944.18705544999</v>
      </c>
      <c r="F14" s="103">
        <f t="shared" si="1"/>
        <v>15199311.7126578</v>
      </c>
      <c r="G14" s="104">
        <f t="shared" si="2"/>
        <v>9865.0770782631334</v>
      </c>
      <c r="H14" s="105">
        <f t="shared" si="3"/>
        <v>4559.79351379734</v>
      </c>
      <c r="I14" s="105">
        <f t="shared" si="4"/>
        <v>9119.58702759468</v>
      </c>
      <c r="J14" s="102">
        <f t="shared" si="8"/>
        <v>4995.3916671750003</v>
      </c>
      <c r="K14" s="106">
        <f>'Truck Elimination (Inbound)'!O14</f>
        <v>4.6500000000000004</v>
      </c>
      <c r="L14" s="105">
        <f t="shared" si="5"/>
        <v>23228.571252363752</v>
      </c>
      <c r="M14" s="104">
        <f t="shared" si="6"/>
        <v>7418.7116692734498</v>
      </c>
      <c r="N14" s="69">
        <f>E14*9.191*0.00220462/2000*17700</f>
        <v>32447.737165618368</v>
      </c>
      <c r="O14" s="69">
        <f>E14*0.215*0.00220462/2000*854000</f>
        <v>36622.223908424225</v>
      </c>
      <c r="P14" s="69">
        <f>E14*0.097*0.00220462/2000*48200</f>
        <v>932.53932607944341</v>
      </c>
      <c r="Q14" s="105">
        <f t="shared" si="7"/>
        <v>110514.86040002236</v>
      </c>
      <c r="R14" s="105">
        <f t="shared" si="9"/>
        <v>52504.814069830383</v>
      </c>
    </row>
    <row r="15" spans="1:18" s="58" customFormat="1" ht="17.25" customHeight="1" x14ac:dyDescent="0.35">
      <c r="A15" s="101">
        <v>12</v>
      </c>
      <c r="B15" s="65">
        <v>2032</v>
      </c>
      <c r="C15" s="102">
        <f>'New Park Customer Carload Proj.'!B10</f>
        <v>821.69482413225001</v>
      </c>
      <c r="D15" s="102">
        <f>'New Park Customer Carload Proj.'!$J$2</f>
        <v>163</v>
      </c>
      <c r="E15" s="102">
        <f t="shared" si="0"/>
        <v>267872.51266711351</v>
      </c>
      <c r="F15" s="103">
        <f t="shared" si="1"/>
        <v>22501291.064037535</v>
      </c>
      <c r="G15" s="104">
        <f t="shared" si="2"/>
        <v>14604.409390611027</v>
      </c>
      <c r="H15" s="105">
        <f t="shared" si="3"/>
        <v>6750.3873192112596</v>
      </c>
      <c r="I15" s="105">
        <f t="shared" si="4"/>
        <v>13500.774638422519</v>
      </c>
      <c r="J15" s="102">
        <f t="shared" si="8"/>
        <v>7395.2534171902498</v>
      </c>
      <c r="K15" s="106">
        <f>'Truck Elimination (Inbound)'!O15</f>
        <v>4.6500000000000004</v>
      </c>
      <c r="L15" s="105">
        <f t="shared" si="5"/>
        <v>34387.928389934663</v>
      </c>
      <c r="M15" s="104">
        <f t="shared" si="6"/>
        <v>10982.773019351655</v>
      </c>
      <c r="N15" s="69">
        <f>E15*9.191*0.00220462/2000*18100</f>
        <v>49121.683176726598</v>
      </c>
      <c r="O15" s="69">
        <f>E15*0.215*0.00220462/2000*867600</f>
        <v>55079.488940883915</v>
      </c>
      <c r="P15" s="69">
        <f>E15*0.097*0.00220462/2000*49100</f>
        <v>1406.3231474087718</v>
      </c>
      <c r="Q15" s="105">
        <f t="shared" si="7"/>
        <v>165582.60606491662</v>
      </c>
      <c r="R15" s="105">
        <f t="shared" si="9"/>
        <v>73520.657335070486</v>
      </c>
    </row>
    <row r="16" spans="1:18" s="58" customFormat="1" ht="17.25" customHeight="1" x14ac:dyDescent="0.35">
      <c r="A16" s="101">
        <v>13</v>
      </c>
      <c r="B16" s="65">
        <v>2033</v>
      </c>
      <c r="C16" s="102">
        <f>'New Park Customer Carload Proj.'!B11</f>
        <v>846.34566885621757</v>
      </c>
      <c r="D16" s="102">
        <f>'New Park Customer Carload Proj.'!$J$2</f>
        <v>163</v>
      </c>
      <c r="E16" s="102">
        <f t="shared" si="0"/>
        <v>275908.68804712693</v>
      </c>
      <c r="F16" s="103">
        <f t="shared" si="1"/>
        <v>23176329.795958661</v>
      </c>
      <c r="G16" s="104">
        <f t="shared" si="2"/>
        <v>15042.541672329358</v>
      </c>
      <c r="H16" s="105">
        <f t="shared" si="3"/>
        <v>6952.8989387875972</v>
      </c>
      <c r="I16" s="105">
        <f t="shared" si="4"/>
        <v>13905.797877575194</v>
      </c>
      <c r="J16" s="102">
        <f t="shared" si="8"/>
        <v>7617.1110197059579</v>
      </c>
      <c r="K16" s="106">
        <f>'Truck Elimination (Inbound)'!O16</f>
        <v>4.6500000000000004</v>
      </c>
      <c r="L16" s="105">
        <f t="shared" si="5"/>
        <v>35419.56624163271</v>
      </c>
      <c r="M16" s="104">
        <f t="shared" si="6"/>
        <v>11312.256209932204</v>
      </c>
      <c r="N16" s="69">
        <f t="shared" ref="N16:N37" si="10">E16*9.191*0.00220462/2000*18100</f>
        <v>50595.333672028399</v>
      </c>
      <c r="O16" s="69">
        <f t="shared" ref="O16:O37" si="11">E16*0.215*0.00220462/2000*867600</f>
        <v>56731.873609110437</v>
      </c>
      <c r="P16" s="69">
        <f t="shared" ref="P16:P37" si="12">E16*0.097*0.00220462/2000*49100</f>
        <v>1448.5128418310348</v>
      </c>
      <c r="Q16" s="105">
        <f t="shared" si="7"/>
        <v>170550.08424686413</v>
      </c>
      <c r="R16" s="105">
        <f t="shared" si="9"/>
        <v>70772.221546843546</v>
      </c>
    </row>
    <row r="17" spans="1:18" s="58" customFormat="1" ht="17.25" customHeight="1" x14ac:dyDescent="0.35">
      <c r="A17" s="101">
        <v>14</v>
      </c>
      <c r="B17" s="65">
        <v>2034</v>
      </c>
      <c r="C17" s="102">
        <f>'New Park Customer Carload Proj.'!B12</f>
        <v>871.73603892190408</v>
      </c>
      <c r="D17" s="102">
        <f>'New Park Customer Carload Proj.'!$J$2</f>
        <v>163</v>
      </c>
      <c r="E17" s="102">
        <f t="shared" si="0"/>
        <v>284185.94868854072</v>
      </c>
      <c r="F17" s="103">
        <f t="shared" si="1"/>
        <v>23871619.689837422</v>
      </c>
      <c r="G17" s="104">
        <f t="shared" si="2"/>
        <v>15493.81792249924</v>
      </c>
      <c r="H17" s="105">
        <f t="shared" si="3"/>
        <v>7161.4859069512258</v>
      </c>
      <c r="I17" s="105">
        <f t="shared" si="4"/>
        <v>14322.971813902452</v>
      </c>
      <c r="J17" s="102">
        <f t="shared" si="8"/>
        <v>7845.6243502971365</v>
      </c>
      <c r="K17" s="106">
        <f>'Truck Elimination (Inbound)'!O17</f>
        <v>4.6500000000000004</v>
      </c>
      <c r="L17" s="105">
        <f t="shared" si="5"/>
        <v>36482.153228881689</v>
      </c>
      <c r="M17" s="104">
        <f t="shared" si="6"/>
        <v>11651.62389623017</v>
      </c>
      <c r="N17" s="69">
        <f t="shared" si="10"/>
        <v>52113.193682189245</v>
      </c>
      <c r="O17" s="69">
        <f t="shared" si="11"/>
        <v>58433.829817383739</v>
      </c>
      <c r="P17" s="69">
        <f t="shared" si="12"/>
        <v>1491.968227085966</v>
      </c>
      <c r="Q17" s="105">
        <f t="shared" si="7"/>
        <v>175666.58677427005</v>
      </c>
      <c r="R17" s="105">
        <f t="shared" si="9"/>
        <v>68126.531021727904</v>
      </c>
    </row>
    <row r="18" spans="1:18" s="58" customFormat="1" ht="17.25" customHeight="1" x14ac:dyDescent="0.35">
      <c r="A18" s="101">
        <v>15</v>
      </c>
      <c r="B18" s="65">
        <v>2035</v>
      </c>
      <c r="C18" s="102">
        <f>'New Park Customer Carload Proj.'!B13</f>
        <v>1147.8881200895612</v>
      </c>
      <c r="D18" s="102">
        <f>'New Park Customer Carload Proj.'!$J$2</f>
        <v>163</v>
      </c>
      <c r="E18" s="102">
        <f t="shared" si="0"/>
        <v>374211.52714919695</v>
      </c>
      <c r="F18" s="103">
        <f t="shared" si="1"/>
        <v>31433768.280532543</v>
      </c>
      <c r="G18" s="104">
        <f t="shared" si="2"/>
        <v>20402.012460174217</v>
      </c>
      <c r="H18" s="105">
        <f t="shared" si="3"/>
        <v>9430.1304841597612</v>
      </c>
      <c r="I18" s="105">
        <f t="shared" si="4"/>
        <v>18860.260968319522</v>
      </c>
      <c r="J18" s="102">
        <f t="shared" si="8"/>
        <v>10330.993080806051</v>
      </c>
      <c r="K18" s="106">
        <f>'Truck Elimination (Inbound)'!O18</f>
        <v>4.6500000000000004</v>
      </c>
      <c r="L18" s="105">
        <f t="shared" si="5"/>
        <v>48039.117825748137</v>
      </c>
      <c r="M18" s="104">
        <f t="shared" si="6"/>
        <v>15342.672613117076</v>
      </c>
      <c r="N18" s="69">
        <f t="shared" si="10"/>
        <v>68621.822727086445</v>
      </c>
      <c r="O18" s="69">
        <f t="shared" si="11"/>
        <v>76944.735635415258</v>
      </c>
      <c r="P18" s="69">
        <f t="shared" si="12"/>
        <v>1964.5999786140449</v>
      </c>
      <c r="Q18" s="105">
        <f t="shared" si="7"/>
        <v>231314.96124015516</v>
      </c>
      <c r="R18" s="105">
        <f t="shared" si="9"/>
        <v>83839.186985220935</v>
      </c>
    </row>
    <row r="19" spans="1:18" s="58" customFormat="1" ht="17.25" customHeight="1" x14ac:dyDescent="0.35">
      <c r="A19" s="101">
        <v>16</v>
      </c>
      <c r="B19" s="65">
        <v>2036</v>
      </c>
      <c r="C19" s="102">
        <f>'New Park Customer Carload Proj.'!B14</f>
        <v>1182.3247636922481</v>
      </c>
      <c r="D19" s="102">
        <f>'New Park Customer Carload Proj.'!$J$2</f>
        <v>163</v>
      </c>
      <c r="E19" s="102">
        <f t="shared" si="0"/>
        <v>385437.87296367285</v>
      </c>
      <c r="F19" s="103">
        <f t="shared" si="1"/>
        <v>32376781.32894852</v>
      </c>
      <c r="G19" s="104">
        <f t="shared" si="2"/>
        <v>21014.072833979444</v>
      </c>
      <c r="H19" s="105">
        <f t="shared" si="3"/>
        <v>9713.0343986845546</v>
      </c>
      <c r="I19" s="105">
        <f t="shared" si="4"/>
        <v>19426.068797369109</v>
      </c>
      <c r="J19" s="102">
        <f t="shared" si="8"/>
        <v>10640.922873230233</v>
      </c>
      <c r="K19" s="106">
        <f>'Truck Elimination (Inbound)'!O19</f>
        <v>4.6500000000000004</v>
      </c>
      <c r="L19" s="105">
        <f t="shared" si="5"/>
        <v>49480.291360520583</v>
      </c>
      <c r="M19" s="104">
        <f t="shared" si="6"/>
        <v>15802.952791510588</v>
      </c>
      <c r="N19" s="69">
        <f t="shared" si="10"/>
        <v>70680.477408899023</v>
      </c>
      <c r="O19" s="69">
        <f t="shared" si="11"/>
        <v>79253.077704477721</v>
      </c>
      <c r="P19" s="69">
        <f t="shared" si="12"/>
        <v>2023.5379779724667</v>
      </c>
      <c r="Q19" s="105">
        <f t="shared" si="7"/>
        <v>238254.41007735982</v>
      </c>
      <c r="R19" s="105">
        <f t="shared" si="9"/>
        <v>80705.011770820172</v>
      </c>
    </row>
    <row r="20" spans="1:18" s="58" customFormat="1" ht="17.25" customHeight="1" x14ac:dyDescent="0.35">
      <c r="A20" s="101">
        <v>17</v>
      </c>
      <c r="B20" s="65">
        <v>2037</v>
      </c>
      <c r="C20" s="102">
        <f>'New Park Customer Carload Proj.'!B15</f>
        <v>1217.7945066030156</v>
      </c>
      <c r="D20" s="102">
        <f>'New Park Customer Carload Proj.'!$J$2</f>
        <v>163</v>
      </c>
      <c r="E20" s="102">
        <f t="shared" si="0"/>
        <v>397001.00915258308</v>
      </c>
      <c r="F20" s="103">
        <f t="shared" si="1"/>
        <v>33348084.768816978</v>
      </c>
      <c r="G20" s="104">
        <f t="shared" si="2"/>
        <v>21644.495018998827</v>
      </c>
      <c r="H20" s="105">
        <f t="shared" si="3"/>
        <v>10004.425430645093</v>
      </c>
      <c r="I20" s="105">
        <f t="shared" si="4"/>
        <v>20008.850861290186</v>
      </c>
      <c r="J20" s="102">
        <f t="shared" si="8"/>
        <v>10960.15055942714</v>
      </c>
      <c r="K20" s="106">
        <f>'Truck Elimination (Inbound)'!O20</f>
        <v>4.6500000000000004</v>
      </c>
      <c r="L20" s="105">
        <f t="shared" si="5"/>
        <v>50964.70010133621</v>
      </c>
      <c r="M20" s="104">
        <f t="shared" si="6"/>
        <v>16277.041375255907</v>
      </c>
      <c r="N20" s="69">
        <f t="shared" si="10"/>
        <v>72800.891731166004</v>
      </c>
      <c r="O20" s="69">
        <f t="shared" si="11"/>
        <v>81630.670035612056</v>
      </c>
      <c r="P20" s="69">
        <f t="shared" si="12"/>
        <v>2084.2441173116404</v>
      </c>
      <c r="Q20" s="105">
        <f t="shared" si="7"/>
        <v>245402.04237968061</v>
      </c>
      <c r="R20" s="105">
        <f t="shared" si="9"/>
        <v>77688.00198499512</v>
      </c>
    </row>
    <row r="21" spans="1:18" s="58" customFormat="1" ht="17.25" customHeight="1" x14ac:dyDescent="0.35">
      <c r="A21" s="101">
        <v>18</v>
      </c>
      <c r="B21" s="65">
        <v>2038</v>
      </c>
      <c r="C21" s="102">
        <f>'New Park Customer Carload Proj.'!B16</f>
        <v>1504.328341801106</v>
      </c>
      <c r="D21" s="102">
        <f>'New Park Customer Carload Proj.'!$J$2</f>
        <v>163</v>
      </c>
      <c r="E21" s="102">
        <f t="shared" si="0"/>
        <v>490411.03942716058</v>
      </c>
      <c r="F21" s="103">
        <f t="shared" si="1"/>
        <v>41194527.31188149</v>
      </c>
      <c r="G21" s="104">
        <f t="shared" si="2"/>
        <v>26737.209869568793</v>
      </c>
      <c r="H21" s="105">
        <f t="shared" si="3"/>
        <v>12358.358193564445</v>
      </c>
      <c r="I21" s="105">
        <f t="shared" si="4"/>
        <v>24716.71638712889</v>
      </c>
      <c r="J21" s="102">
        <f t="shared" si="8"/>
        <v>13538.955076209953</v>
      </c>
      <c r="K21" s="106">
        <f>'Truck Elimination (Inbound)'!O21</f>
        <v>4.6500000000000004</v>
      </c>
      <c r="L21" s="105">
        <f t="shared" si="5"/>
        <v>62956.141104376286</v>
      </c>
      <c r="M21" s="104">
        <f t="shared" si="6"/>
        <v>20106.852616513585</v>
      </c>
      <c r="N21" s="69">
        <f t="shared" si="10"/>
        <v>89930.151717532499</v>
      </c>
      <c r="O21" s="69">
        <f t="shared" si="11"/>
        <v>100837.48106019042</v>
      </c>
      <c r="P21" s="69">
        <f t="shared" si="12"/>
        <v>2574.6441455464901</v>
      </c>
      <c r="Q21" s="105">
        <f t="shared" si="7"/>
        <v>303142.48051372805</v>
      </c>
      <c r="R21" s="105">
        <f t="shared" si="9"/>
        <v>89688.92148823537</v>
      </c>
    </row>
    <row r="22" spans="1:18" s="58" customFormat="1" ht="17.25" customHeight="1" x14ac:dyDescent="0.35">
      <c r="A22" s="101">
        <v>19</v>
      </c>
      <c r="B22" s="65">
        <v>2039</v>
      </c>
      <c r="C22" s="102">
        <f>'New Park Customer Carload Proj.'!B17</f>
        <v>1549.4581920551393</v>
      </c>
      <c r="D22" s="102">
        <f>'New Park Customer Carload Proj.'!$J$2</f>
        <v>163</v>
      </c>
      <c r="E22" s="102">
        <f t="shared" si="0"/>
        <v>505123.37060997542</v>
      </c>
      <c r="F22" s="103">
        <f t="shared" si="1"/>
        <v>42430363.131237939</v>
      </c>
      <c r="G22" s="104">
        <f t="shared" si="2"/>
        <v>27539.326165655857</v>
      </c>
      <c r="H22" s="105">
        <f t="shared" si="3"/>
        <v>12729.108939371381</v>
      </c>
      <c r="I22" s="105">
        <f t="shared" si="4"/>
        <v>25458.217878742762</v>
      </c>
      <c r="J22" s="102">
        <f t="shared" si="8"/>
        <v>13945.123728496254</v>
      </c>
      <c r="K22" s="106">
        <f>'Truck Elimination (Inbound)'!O22</f>
        <v>4.6500000000000004</v>
      </c>
      <c r="L22" s="105">
        <f t="shared" si="5"/>
        <v>64844.825337507587</v>
      </c>
      <c r="M22" s="104">
        <f t="shared" si="6"/>
        <v>20710.058195008995</v>
      </c>
      <c r="N22" s="69">
        <f t="shared" si="10"/>
        <v>92628.056269058448</v>
      </c>
      <c r="O22" s="69">
        <f t="shared" si="11"/>
        <v>103862.60549199615</v>
      </c>
      <c r="P22" s="69">
        <f t="shared" si="12"/>
        <v>2651.8834699128843</v>
      </c>
      <c r="Q22" s="105">
        <f t="shared" si="7"/>
        <v>312236.75492913992</v>
      </c>
      <c r="R22" s="105">
        <f t="shared" si="9"/>
        <v>86336.064610170506</v>
      </c>
    </row>
    <row r="23" spans="1:18" s="58" customFormat="1" ht="17.25" customHeight="1" x14ac:dyDescent="0.35">
      <c r="A23" s="101">
        <v>20</v>
      </c>
      <c r="B23" s="65">
        <v>2040</v>
      </c>
      <c r="C23" s="102">
        <f>'New Park Customer Carload Proj.'!B18</f>
        <v>1595.9419378167936</v>
      </c>
      <c r="D23" s="102">
        <f>'New Park Customer Carload Proj.'!$J$2</f>
        <v>163</v>
      </c>
      <c r="E23" s="102">
        <f t="shared" si="0"/>
        <v>520277.07172827469</v>
      </c>
      <c r="F23" s="103">
        <f t="shared" si="1"/>
        <v>43703274.025175072</v>
      </c>
      <c r="G23" s="104">
        <f t="shared" si="2"/>
        <v>28365.505950625538</v>
      </c>
      <c r="H23" s="105">
        <f t="shared" si="3"/>
        <v>13110.982207552521</v>
      </c>
      <c r="I23" s="105">
        <f t="shared" si="4"/>
        <v>26221.964415105042</v>
      </c>
      <c r="J23" s="102">
        <f t="shared" si="8"/>
        <v>14363.477440351142</v>
      </c>
      <c r="K23" s="106">
        <f>'Truck Elimination (Inbound)'!O23</f>
        <v>4.6500000000000004</v>
      </c>
      <c r="L23" s="105">
        <f t="shared" si="5"/>
        <v>66790.170097632814</v>
      </c>
      <c r="M23" s="104">
        <f t="shared" si="6"/>
        <v>21331.359940859264</v>
      </c>
      <c r="N23" s="69">
        <f t="shared" si="10"/>
        <v>95406.897957130219</v>
      </c>
      <c r="O23" s="69">
        <f t="shared" si="11"/>
        <v>106978.48365675603</v>
      </c>
      <c r="P23" s="69">
        <f t="shared" si="12"/>
        <v>2731.4399740102708</v>
      </c>
      <c r="Q23" s="105">
        <f t="shared" si="7"/>
        <v>321603.85757701413</v>
      </c>
      <c r="R23" s="105">
        <f t="shared" si="9"/>
        <v>83108.548176145443</v>
      </c>
    </row>
    <row r="24" spans="1:18" s="58" customFormat="1" ht="17.25" customHeight="1" x14ac:dyDescent="0.35">
      <c r="A24" s="101">
        <v>21</v>
      </c>
      <c r="B24" s="65">
        <v>2041</v>
      </c>
      <c r="C24" s="102">
        <f>'New Park Customer Carload Proj.'!B19</f>
        <v>1893.8201959512974</v>
      </c>
      <c r="D24" s="102">
        <f>'New Park Customer Carload Proj.'!$J$2</f>
        <v>163</v>
      </c>
      <c r="E24" s="102">
        <f t="shared" si="0"/>
        <v>617385.38388012291</v>
      </c>
      <c r="F24" s="103">
        <f t="shared" si="1"/>
        <v>51860372.245930322</v>
      </c>
      <c r="G24" s="104">
        <f t="shared" si="2"/>
        <v>33659.851129144299</v>
      </c>
      <c r="H24" s="105">
        <f t="shared" si="3"/>
        <v>15558.111673779094</v>
      </c>
      <c r="I24" s="105">
        <f t="shared" si="4"/>
        <v>31116.223347558189</v>
      </c>
      <c r="J24" s="102">
        <f t="shared" si="8"/>
        <v>17044.381763561676</v>
      </c>
      <c r="K24" s="106">
        <f>'Truck Elimination (Inbound)'!O24</f>
        <v>4.6500000000000004</v>
      </c>
      <c r="L24" s="105">
        <f t="shared" si="5"/>
        <v>79256.375200561801</v>
      </c>
      <c r="M24" s="104">
        <f t="shared" si="6"/>
        <v>25312.80073908504</v>
      </c>
      <c r="N24" s="69">
        <f t="shared" si="10"/>
        <v>113214.33813027562</v>
      </c>
      <c r="O24" s="69">
        <f t="shared" si="11"/>
        <v>126945.72908996871</v>
      </c>
      <c r="P24" s="69">
        <f t="shared" si="12"/>
        <v>3241.2558779460796</v>
      </c>
      <c r="Q24" s="105">
        <f t="shared" si="7"/>
        <v>381630.35016698152</v>
      </c>
      <c r="R24" s="105">
        <f t="shared" si="9"/>
        <v>92168.723863232604</v>
      </c>
    </row>
    <row r="25" spans="1:18" s="58" customFormat="1" ht="17.25" customHeight="1" x14ac:dyDescent="0.35">
      <c r="A25" s="101">
        <v>22</v>
      </c>
      <c r="B25" s="65">
        <v>2042</v>
      </c>
      <c r="C25" s="102">
        <f>'New Park Customer Carload Proj.'!B20</f>
        <v>1950.6348018298363</v>
      </c>
      <c r="D25" s="102">
        <f>'New Park Customer Carload Proj.'!$J$2</f>
        <v>163</v>
      </c>
      <c r="E25" s="102">
        <f t="shared" si="0"/>
        <v>635906.9453965266</v>
      </c>
      <c r="F25" s="103">
        <f t="shared" si="1"/>
        <v>53416183.413308233</v>
      </c>
      <c r="G25" s="104">
        <f t="shared" si="2"/>
        <v>34669.646663018626</v>
      </c>
      <c r="H25" s="107"/>
      <c r="I25" s="107"/>
      <c r="J25" s="102">
        <f t="shared" si="8"/>
        <v>17555.713216468528</v>
      </c>
      <c r="K25" s="106">
        <f>'Truck Elimination (Inbound)'!O25</f>
        <v>4.6500000000000004</v>
      </c>
      <c r="L25" s="105">
        <f t="shared" si="5"/>
        <v>81634.066456578657</v>
      </c>
      <c r="M25" s="104">
        <f t="shared" si="6"/>
        <v>26072.184761257591</v>
      </c>
      <c r="N25" s="69">
        <f t="shared" si="10"/>
        <v>116610.76827418388</v>
      </c>
      <c r="O25" s="69">
        <f t="shared" si="11"/>
        <v>130754.10096266774</v>
      </c>
      <c r="P25" s="69">
        <f t="shared" si="12"/>
        <v>3338.4935542844614</v>
      </c>
      <c r="Q25" s="105">
        <f t="shared" si="7"/>
        <v>393079.26067199092</v>
      </c>
      <c r="R25" s="105">
        <f t="shared" si="9"/>
        <v>88723.164092644467</v>
      </c>
    </row>
    <row r="26" spans="1:18" s="58" customFormat="1" ht="17.25" customHeight="1" x14ac:dyDescent="0.35">
      <c r="A26" s="101">
        <v>23</v>
      </c>
      <c r="B26" s="65">
        <v>2043</v>
      </c>
      <c r="C26" s="102">
        <f>'New Park Customer Carload Proj.'!B21</f>
        <v>2009.1538458847315</v>
      </c>
      <c r="D26" s="102">
        <f>'New Park Customer Carload Proj.'!$J$2</f>
        <v>163</v>
      </c>
      <c r="E26" s="102">
        <f t="shared" si="0"/>
        <v>654984.15375842247</v>
      </c>
      <c r="F26" s="103">
        <f t="shared" si="1"/>
        <v>55018668.915707484</v>
      </c>
      <c r="G26" s="104">
        <f t="shared" si="2"/>
        <v>35709.736062909193</v>
      </c>
      <c r="H26" s="107"/>
      <c r="I26" s="107"/>
      <c r="J26" s="102">
        <f t="shared" si="8"/>
        <v>18082.384612962582</v>
      </c>
      <c r="K26" s="106">
        <f>'Truck Elimination (Inbound)'!O26</f>
        <v>4.6500000000000004</v>
      </c>
      <c r="L26" s="105">
        <f t="shared" si="5"/>
        <v>84083.088450276016</v>
      </c>
      <c r="M26" s="104">
        <f t="shared" si="6"/>
        <v>26854.350304095322</v>
      </c>
      <c r="N26" s="69">
        <f t="shared" si="10"/>
        <v>120109.09132240944</v>
      </c>
      <c r="O26" s="69">
        <f t="shared" si="11"/>
        <v>134676.72399154783</v>
      </c>
      <c r="P26" s="69">
        <f t="shared" si="12"/>
        <v>3438.6483609129959</v>
      </c>
      <c r="Q26" s="105">
        <f t="shared" si="7"/>
        <v>404871.63849215081</v>
      </c>
      <c r="R26" s="105">
        <f t="shared" si="9"/>
        <v>85406.410294788628</v>
      </c>
    </row>
    <row r="27" spans="1:18" s="58" customFormat="1" ht="17.25" customHeight="1" x14ac:dyDescent="0.35">
      <c r="A27" s="101">
        <v>24</v>
      </c>
      <c r="B27" s="65">
        <v>2044</v>
      </c>
      <c r="C27" s="102">
        <f>'New Park Customer Carload Proj.'!B22</f>
        <v>2319.4284612612737</v>
      </c>
      <c r="D27" s="102">
        <f>'New Park Customer Carload Proj.'!$J$2</f>
        <v>163</v>
      </c>
      <c r="E27" s="102">
        <f t="shared" si="0"/>
        <v>756133.67837117519</v>
      </c>
      <c r="F27" s="103">
        <f t="shared" si="1"/>
        <v>63515228.98317872</v>
      </c>
      <c r="G27" s="104">
        <f t="shared" si="2"/>
        <v>41224.408144796471</v>
      </c>
      <c r="H27" s="107"/>
      <c r="I27" s="107"/>
      <c r="J27" s="102">
        <f t="shared" si="8"/>
        <v>20874.856151351465</v>
      </c>
      <c r="K27" s="106">
        <f>'Truck Elimination (Inbound)'!O27</f>
        <v>4.6500000000000004</v>
      </c>
      <c r="L27" s="105">
        <f t="shared" si="5"/>
        <v>97068.081103784323</v>
      </c>
      <c r="M27" s="104">
        <f t="shared" si="6"/>
        <v>31001.480813218182</v>
      </c>
      <c r="N27" s="69">
        <f t="shared" si="10"/>
        <v>138657.59729651321</v>
      </c>
      <c r="O27" s="69">
        <f t="shared" si="11"/>
        <v>155474.91663480425</v>
      </c>
      <c r="P27" s="69">
        <f t="shared" si="12"/>
        <v>3969.6805164558859</v>
      </c>
      <c r="Q27" s="105">
        <f t="shared" si="7"/>
        <v>467396.16450957232</v>
      </c>
      <c r="R27" s="105">
        <f t="shared" si="9"/>
        <v>92145.574010093755</v>
      </c>
    </row>
    <row r="28" spans="1:18" s="58" customFormat="1" ht="17.25" customHeight="1" x14ac:dyDescent="0.35">
      <c r="A28" s="101">
        <v>25</v>
      </c>
      <c r="B28" s="65">
        <v>2045</v>
      </c>
      <c r="C28" s="102">
        <f>'New Park Customer Carload Proj.'!B23</f>
        <v>2389.0113150991119</v>
      </c>
      <c r="D28" s="102">
        <f>'New Park Customer Carload Proj.'!$J$2</f>
        <v>163</v>
      </c>
      <c r="E28" s="102">
        <f t="shared" si="0"/>
        <v>778817.68872231047</v>
      </c>
      <c r="F28" s="103">
        <f t="shared" si="1"/>
        <v>65420685.852674082</v>
      </c>
      <c r="G28" s="104">
        <f t="shared" si="2"/>
        <v>42461.140389140368</v>
      </c>
      <c r="H28" s="107"/>
      <c r="I28" s="107"/>
      <c r="J28" s="102">
        <f t="shared" si="8"/>
        <v>21501.101835892008</v>
      </c>
      <c r="K28" s="106">
        <f>'Truck Elimination (Inbound)'!O28</f>
        <v>4.6500000000000004</v>
      </c>
      <c r="L28" s="105">
        <f t="shared" si="5"/>
        <v>99980.123536897852</v>
      </c>
      <c r="M28" s="104">
        <f t="shared" si="6"/>
        <v>31931.525237614729</v>
      </c>
      <c r="N28" s="69">
        <f t="shared" si="10"/>
        <v>142817.32521540864</v>
      </c>
      <c r="O28" s="69">
        <f t="shared" si="11"/>
        <v>160139.16413384839</v>
      </c>
      <c r="P28" s="69">
        <f t="shared" si="12"/>
        <v>4088.7709319495621</v>
      </c>
      <c r="Q28" s="105">
        <f t="shared" si="7"/>
        <v>481418.04944485956</v>
      </c>
      <c r="R28" s="105">
        <f t="shared" si="9"/>
        <v>88700.879654576245</v>
      </c>
    </row>
    <row r="29" spans="1:18" s="58" customFormat="1" ht="17.25" customHeight="1" x14ac:dyDescent="0.35">
      <c r="A29" s="101">
        <v>26</v>
      </c>
      <c r="B29" s="65">
        <v>2046</v>
      </c>
      <c r="C29" s="102">
        <f>'New Park Customer Carload Proj.'!B24</f>
        <v>2460.6816545520855</v>
      </c>
      <c r="D29" s="102">
        <f>'New Park Customer Carload Proj.'!$J$2</f>
        <v>163</v>
      </c>
      <c r="E29" s="102">
        <f t="shared" si="0"/>
        <v>802182.21938397991</v>
      </c>
      <c r="F29" s="103">
        <f t="shared" si="1"/>
        <v>67383306.428254306</v>
      </c>
      <c r="G29" s="104">
        <f t="shared" si="2"/>
        <v>43734.974600814588</v>
      </c>
      <c r="H29" s="107"/>
      <c r="I29" s="107"/>
      <c r="J29" s="102">
        <f t="shared" si="8"/>
        <v>22146.134890968769</v>
      </c>
      <c r="K29" s="106">
        <f>'Truck Elimination (Inbound)'!O29</f>
        <v>4.6500000000000004</v>
      </c>
      <c r="L29" s="105">
        <f t="shared" si="5"/>
        <v>102979.52724300479</v>
      </c>
      <c r="M29" s="104">
        <f t="shared" si="6"/>
        <v>32889.470994743177</v>
      </c>
      <c r="N29" s="69">
        <f t="shared" si="10"/>
        <v>147101.84497187089</v>
      </c>
      <c r="O29" s="69">
        <f t="shared" si="11"/>
        <v>164943.33905786384</v>
      </c>
      <c r="P29" s="69">
        <f t="shared" si="12"/>
        <v>4211.4340599080506</v>
      </c>
      <c r="Q29" s="105">
        <f t="shared" si="7"/>
        <v>495860.59092820529</v>
      </c>
      <c r="R29" s="105">
        <f t="shared" si="9"/>
        <v>85384.958919825716</v>
      </c>
    </row>
    <row r="30" spans="1:18" s="58" customFormat="1" ht="17.25" customHeight="1" x14ac:dyDescent="0.35">
      <c r="A30" s="101">
        <v>27</v>
      </c>
      <c r="B30" s="65">
        <v>2047</v>
      </c>
      <c r="C30" s="102">
        <f>'New Park Customer Carload Proj.'!B25</f>
        <v>2784.502104188648</v>
      </c>
      <c r="D30" s="102">
        <f>'New Park Customer Carload Proj.'!$J$2</f>
        <v>163</v>
      </c>
      <c r="E30" s="102">
        <f t="shared" si="0"/>
        <v>907747.68596549926</v>
      </c>
      <c r="F30" s="103">
        <f t="shared" si="1"/>
        <v>76250805.621101931</v>
      </c>
      <c r="G30" s="104">
        <f t="shared" si="2"/>
        <v>49490.403838839018</v>
      </c>
      <c r="H30" s="107"/>
      <c r="I30" s="107"/>
      <c r="J30" s="102">
        <f t="shared" si="8"/>
        <v>25060.518937697831</v>
      </c>
      <c r="K30" s="106">
        <f>'Truck Elimination (Inbound)'!O30</f>
        <v>4.6500000000000004</v>
      </c>
      <c r="L30" s="105">
        <f t="shared" si="5"/>
        <v>116531.41306029492</v>
      </c>
      <c r="M30" s="104">
        <f t="shared" si="6"/>
        <v>37217.655124585472</v>
      </c>
      <c r="N30" s="69">
        <f t="shared" si="10"/>
        <v>166460.13355545851</v>
      </c>
      <c r="O30" s="69">
        <f t="shared" si="11"/>
        <v>186649.53015310975</v>
      </c>
      <c r="P30" s="69">
        <f t="shared" si="12"/>
        <v>4765.6497864207913</v>
      </c>
      <c r="Q30" s="105">
        <f t="shared" si="7"/>
        <v>561114.78551870841</v>
      </c>
      <c r="R30" s="105">
        <f t="shared" si="9"/>
        <v>90300.408531216599</v>
      </c>
    </row>
    <row r="31" spans="1:18" s="58" customFormat="1" ht="17.25" customHeight="1" x14ac:dyDescent="0.35">
      <c r="A31" s="101">
        <v>28</v>
      </c>
      <c r="B31" s="65">
        <v>2048</v>
      </c>
      <c r="C31" s="102">
        <f>'New Park Customer Carload Proj.'!B26</f>
        <v>2868.0371673143077</v>
      </c>
      <c r="D31" s="102">
        <f>'New Park Customer Carload Proj.'!$J$2</f>
        <v>163</v>
      </c>
      <c r="E31" s="102">
        <f t="shared" si="0"/>
        <v>934980.11654446425</v>
      </c>
      <c r="F31" s="103">
        <f t="shared" si="1"/>
        <v>78538329.789735004</v>
      </c>
      <c r="G31" s="104">
        <f t="shared" si="2"/>
        <v>50975.115954004184</v>
      </c>
      <c r="H31" s="107"/>
      <c r="I31" s="107"/>
      <c r="J31" s="102">
        <f t="shared" si="8"/>
        <v>25812.33450582877</v>
      </c>
      <c r="K31" s="106">
        <f>'Truck Elimination (Inbound)'!O31</f>
        <v>4.6500000000000004</v>
      </c>
      <c r="L31" s="105">
        <f t="shared" si="5"/>
        <v>120027.35545210379</v>
      </c>
      <c r="M31" s="104">
        <f t="shared" si="6"/>
        <v>38334.184778323033</v>
      </c>
      <c r="N31" s="69">
        <f t="shared" si="10"/>
        <v>171453.93756212227</v>
      </c>
      <c r="O31" s="69">
        <f t="shared" si="11"/>
        <v>192249.01605770306</v>
      </c>
      <c r="P31" s="69">
        <f t="shared" si="12"/>
        <v>4908.6192800134158</v>
      </c>
      <c r="Q31" s="105">
        <f t="shared" si="7"/>
        <v>577948.22908426984</v>
      </c>
      <c r="R31" s="105">
        <f t="shared" si="9"/>
        <v>86924.692324442192</v>
      </c>
    </row>
    <row r="32" spans="1:18" s="58" customFormat="1" ht="17.25" customHeight="1" x14ac:dyDescent="0.35">
      <c r="A32" s="101">
        <v>29</v>
      </c>
      <c r="B32" s="65">
        <v>2049</v>
      </c>
      <c r="C32" s="102">
        <f>'New Park Customer Carload Proj.'!B27</f>
        <v>2954.0782823337372</v>
      </c>
      <c r="D32" s="102">
        <f>'New Park Customer Carload Proj.'!$J$2</f>
        <v>163</v>
      </c>
      <c r="E32" s="102">
        <f t="shared" si="0"/>
        <v>963029.52004079835</v>
      </c>
      <c r="F32" s="103">
        <f t="shared" si="1"/>
        <v>80894479.683427066</v>
      </c>
      <c r="G32" s="104">
        <f t="shared" si="2"/>
        <v>52504.369432624328</v>
      </c>
      <c r="H32" s="107"/>
      <c r="I32" s="107"/>
      <c r="J32" s="102">
        <f t="shared" si="8"/>
        <v>26586.704541003633</v>
      </c>
      <c r="K32" s="106">
        <f>'Truck Elimination (Inbound)'!O32</f>
        <v>4.6500000000000004</v>
      </c>
      <c r="L32" s="105">
        <f t="shared" si="5"/>
        <v>123628.17611566691</v>
      </c>
      <c r="M32" s="104">
        <f t="shared" si="6"/>
        <v>39484.210321672734</v>
      </c>
      <c r="N32" s="69">
        <f t="shared" si="10"/>
        <v>176597.55568898597</v>
      </c>
      <c r="O32" s="69">
        <f t="shared" si="11"/>
        <v>198016.48653943418</v>
      </c>
      <c r="P32" s="69">
        <f t="shared" si="12"/>
        <v>5055.877858413819</v>
      </c>
      <c r="Q32" s="105">
        <f t="shared" si="7"/>
        <v>595286.6759567979</v>
      </c>
      <c r="R32" s="105">
        <f t="shared" si="9"/>
        <v>83675.171116051817</v>
      </c>
    </row>
    <row r="33" spans="1:18" s="58" customFormat="1" ht="17.25" customHeight="1" x14ac:dyDescent="0.35">
      <c r="A33" s="101">
        <v>30</v>
      </c>
      <c r="B33" s="65">
        <v>2050</v>
      </c>
      <c r="C33" s="102">
        <f>'New Park Customer Carload Proj.'!B28</f>
        <v>3292.7006308037494</v>
      </c>
      <c r="D33" s="102">
        <f>'New Park Customer Carload Proj.'!$J$2</f>
        <v>163</v>
      </c>
      <c r="E33" s="102">
        <f t="shared" si="0"/>
        <v>1073420.4056420224</v>
      </c>
      <c r="F33" s="103">
        <f t="shared" si="1"/>
        <v>90167314.073929876</v>
      </c>
      <c r="G33" s="104">
        <f t="shared" si="2"/>
        <v>58522.880515603058</v>
      </c>
      <c r="H33" s="107"/>
      <c r="I33" s="107"/>
      <c r="J33" s="102">
        <f t="shared" si="8"/>
        <v>29634.305677233744</v>
      </c>
      <c r="K33" s="106">
        <f>'Truck Elimination (Inbound)'!O33</f>
        <v>4.6500000000000004</v>
      </c>
      <c r="L33" s="105">
        <f t="shared" si="5"/>
        <v>137799.52139913692</v>
      </c>
      <c r="M33" s="104">
        <f t="shared" si="6"/>
        <v>44010.236631322921</v>
      </c>
      <c r="N33" s="69">
        <f t="shared" si="10"/>
        <v>196840.71559408706</v>
      </c>
      <c r="O33" s="69">
        <f t="shared" si="11"/>
        <v>220714.8720591272</v>
      </c>
      <c r="P33" s="69">
        <f t="shared" si="12"/>
        <v>5635.426898881733</v>
      </c>
      <c r="Q33" s="105">
        <f t="shared" si="7"/>
        <v>663523.65309815889</v>
      </c>
      <c r="R33" s="105">
        <f t="shared" si="9"/>
        <v>87165.189471387246</v>
      </c>
    </row>
    <row r="34" spans="1:18" s="58" customFormat="1" ht="17.25" customHeight="1" x14ac:dyDescent="0.35">
      <c r="A34" s="101">
        <v>31</v>
      </c>
      <c r="B34" s="65">
        <v>2051</v>
      </c>
      <c r="C34" s="102">
        <f>'New Park Customer Carload Proj.'!B29</f>
        <v>3391.4816497278621</v>
      </c>
      <c r="D34" s="102">
        <f>'New Park Customer Carload Proj.'!$J$2</f>
        <v>163</v>
      </c>
      <c r="E34" s="102">
        <f t="shared" si="0"/>
        <v>1105623.017811283</v>
      </c>
      <c r="F34" s="103">
        <f t="shared" si="1"/>
        <v>92872333.496147767</v>
      </c>
      <c r="G34" s="104">
        <f t="shared" si="2"/>
        <v>60278.566931071153</v>
      </c>
      <c r="H34" s="107"/>
      <c r="I34" s="107"/>
      <c r="J34" s="102">
        <f t="shared" si="8"/>
        <v>30523.334847550759</v>
      </c>
      <c r="K34" s="106">
        <f>'Truck Elimination (Inbound)'!O34</f>
        <v>4.6500000000000004</v>
      </c>
      <c r="L34" s="105">
        <f t="shared" si="5"/>
        <v>141933.50704111104</v>
      </c>
      <c r="M34" s="104">
        <f t="shared" si="6"/>
        <v>45330.543730262601</v>
      </c>
      <c r="N34" s="69">
        <f t="shared" si="10"/>
        <v>202745.9370619097</v>
      </c>
      <c r="O34" s="69">
        <f t="shared" si="11"/>
        <v>227336.31822090107</v>
      </c>
      <c r="P34" s="69">
        <f t="shared" si="12"/>
        <v>5804.4897058481856</v>
      </c>
      <c r="Q34" s="105">
        <f t="shared" si="7"/>
        <v>683429.36269110371</v>
      </c>
      <c r="R34" s="105">
        <f t="shared" si="9"/>
        <v>83906.677715447528</v>
      </c>
    </row>
    <row r="35" spans="1:18" s="58" customFormat="1" ht="15.75" customHeight="1" thickBot="1" x14ac:dyDescent="0.4">
      <c r="A35" s="101">
        <v>32</v>
      </c>
      <c r="B35" s="65">
        <v>2052</v>
      </c>
      <c r="C35" s="102">
        <f>'New Park Customer Carload Proj.'!B30</f>
        <v>3493.226099219698</v>
      </c>
      <c r="D35" s="102">
        <f>'New Park Customer Carload Proj.'!$J$2</f>
        <v>163</v>
      </c>
      <c r="E35" s="102">
        <f t="shared" si="0"/>
        <v>1138791.7083456216</v>
      </c>
      <c r="F35" s="103">
        <f t="shared" si="1"/>
        <v>95658503.501032218</v>
      </c>
      <c r="G35" s="104">
        <f t="shared" si="2"/>
        <v>62086.923939003289</v>
      </c>
      <c r="H35" s="108">
        <f t="shared" si="3"/>
        <v>28697.551050309663</v>
      </c>
      <c r="I35" s="108">
        <f t="shared" si="4"/>
        <v>57395.102100619326</v>
      </c>
      <c r="J35" s="102">
        <f t="shared" si="8"/>
        <v>31439.034892977281</v>
      </c>
      <c r="K35" s="106">
        <f>'Truck Elimination (Inbound)'!O35</f>
        <v>4.6500000000000004</v>
      </c>
      <c r="L35" s="105">
        <f t="shared" si="5"/>
        <v>146191.51225234437</v>
      </c>
      <c r="M35" s="104">
        <f t="shared" si="6"/>
        <v>46690.460042170489</v>
      </c>
      <c r="N35" s="69">
        <f t="shared" si="10"/>
        <v>208828.31517376698</v>
      </c>
      <c r="O35" s="69">
        <f t="shared" si="11"/>
        <v>234156.40776752812</v>
      </c>
      <c r="P35" s="69">
        <f t="shared" si="12"/>
        <v>5978.624397023631</v>
      </c>
      <c r="Q35" s="105">
        <f t="shared" si="7"/>
        <v>703932.24357183685</v>
      </c>
      <c r="R35" s="105">
        <f t="shared" si="9"/>
        <v>80769.979483094357</v>
      </c>
    </row>
    <row r="36" spans="1:18" s="58" customFormat="1" ht="15.5" customHeight="1" thickBot="1" x14ac:dyDescent="0.4">
      <c r="A36" s="101">
        <v>33</v>
      </c>
      <c r="B36" s="65">
        <v>2053</v>
      </c>
      <c r="C36" s="102">
        <f>'New Park Customer Carload Proj.'!B31</f>
        <v>3848.0228821962892</v>
      </c>
      <c r="D36" s="102">
        <f>'New Park Customer Carload Proj.'!$J$2</f>
        <v>163</v>
      </c>
      <c r="E36" s="102">
        <f t="shared" si="0"/>
        <v>1254455.4595959904</v>
      </c>
      <c r="F36" s="103">
        <f t="shared" si="1"/>
        <v>105374258.60606319</v>
      </c>
      <c r="G36" s="104">
        <f t="shared" si="2"/>
        <v>68392.91165717339</v>
      </c>
      <c r="H36" s="108">
        <f t="shared" si="3"/>
        <v>31612.277581818955</v>
      </c>
      <c r="I36" s="108">
        <f t="shared" si="4"/>
        <v>63224.55516363791</v>
      </c>
      <c r="J36" s="102">
        <f t="shared" si="8"/>
        <v>34632.205939766602</v>
      </c>
      <c r="K36" s="106">
        <f>'Truck Elimination (Inbound)'!O36</f>
        <v>4.6500000000000004</v>
      </c>
      <c r="L36" s="105">
        <f t="shared" si="5"/>
        <v>161039.75761991472</v>
      </c>
      <c r="M36" s="104">
        <f t="shared" si="6"/>
        <v>51432.673843435608</v>
      </c>
      <c r="N36" s="69">
        <f t="shared" si="10"/>
        <v>230038.39786341152</v>
      </c>
      <c r="O36" s="69">
        <f t="shared" si="11"/>
        <v>257938.99092406395</v>
      </c>
      <c r="P36" s="69">
        <f t="shared" si="12"/>
        <v>6585.8558336498409</v>
      </c>
      <c r="Q36" s="105">
        <f t="shared" si="7"/>
        <v>775428.58774164901</v>
      </c>
      <c r="R36" s="105">
        <f t="shared" si="9"/>
        <v>83152.851067983182</v>
      </c>
    </row>
    <row r="37" spans="1:18" s="58" customFormat="1" ht="15.75" customHeight="1" thickBot="1" x14ac:dyDescent="0.4">
      <c r="A37" s="101">
        <v>34</v>
      </c>
      <c r="B37" s="65">
        <v>2054</v>
      </c>
      <c r="C37" s="102">
        <f>'New Park Customer Carload Proj.'!B32</f>
        <v>3963.4635686621777</v>
      </c>
      <c r="D37" s="102">
        <f>'New Park Customer Carload Proj.'!$J$2</f>
        <v>163</v>
      </c>
      <c r="E37" s="102">
        <f t="shared" si="0"/>
        <v>1292089.1233838699</v>
      </c>
      <c r="F37" s="103">
        <f t="shared" si="1"/>
        <v>108535486.36424507</v>
      </c>
      <c r="G37" s="104">
        <f t="shared" si="2"/>
        <v>70444.699006888579</v>
      </c>
      <c r="H37" s="108">
        <f t="shared" si="3"/>
        <v>32560.64590927352</v>
      </c>
      <c r="I37" s="108">
        <f t="shared" si="4"/>
        <v>65121.291818547041</v>
      </c>
      <c r="J37" s="102">
        <f t="shared" si="8"/>
        <v>35671.172117959599</v>
      </c>
      <c r="K37" s="106">
        <f>'Truck Elimination (Inbound)'!O37</f>
        <v>4.6500000000000004</v>
      </c>
      <c r="L37" s="105">
        <f t="shared" si="5"/>
        <v>165870.95034851215</v>
      </c>
      <c r="M37" s="104">
        <f t="shared" si="6"/>
        <v>52975.65405873867</v>
      </c>
      <c r="N37" s="69">
        <f t="shared" si="10"/>
        <v>236939.54979931383</v>
      </c>
      <c r="O37" s="69">
        <f t="shared" si="11"/>
        <v>265677.16065178585</v>
      </c>
      <c r="P37" s="69">
        <f t="shared" si="12"/>
        <v>6783.431508659336</v>
      </c>
      <c r="Q37" s="105">
        <f t="shared" si="7"/>
        <v>798691.44537389837</v>
      </c>
      <c r="R37" s="105">
        <f t="shared" si="9"/>
        <v>80044.333271049225</v>
      </c>
    </row>
    <row r="38" spans="1:18" s="58" customFormat="1" ht="15.5" thickBot="1" x14ac:dyDescent="0.4">
      <c r="A38" s="242">
        <v>35</v>
      </c>
      <c r="B38" s="235">
        <v>2055</v>
      </c>
      <c r="C38" s="243">
        <f>'New Park Customer Carload Proj.'!B33</f>
        <v>4082.3674757220433</v>
      </c>
      <c r="D38" s="243">
        <f>'New Park Customer Carload Proj.'!$J$2</f>
        <v>163</v>
      </c>
      <c r="E38" s="243">
        <f>C38*D38*2</f>
        <v>1330851.7970853862</v>
      </c>
      <c r="F38" s="244">
        <f>E38*84</f>
        <v>111791550.95517245</v>
      </c>
      <c r="G38" s="245">
        <f>E38/100000000*0.47*11600000</f>
        <v>72558.039977095264</v>
      </c>
      <c r="H38" s="108">
        <f>F38*0.0003</f>
        <v>33537.465286551735</v>
      </c>
      <c r="I38" s="108">
        <f>F38*0.0006</f>
        <v>67074.930573103469</v>
      </c>
      <c r="J38" s="102">
        <f t="shared" si="8"/>
        <v>36741.30728149839</v>
      </c>
      <c r="K38" s="246">
        <f>'Truck Elimination (Inbound)'!O38</f>
        <v>4.6500000000000004</v>
      </c>
      <c r="L38" s="108">
        <f>J38*K38</f>
        <v>170847.07885896752</v>
      </c>
      <c r="M38" s="245">
        <f>E38*0.041</f>
        <v>54564.92368050084</v>
      </c>
      <c r="N38" s="240">
        <f>E38*9.191*0.00220462/2000*18100</f>
        <v>244047.7362932933</v>
      </c>
      <c r="O38" s="240">
        <f>E38*0.215*0.00220462/2000*867600</f>
        <v>273647.47547133942</v>
      </c>
      <c r="P38" s="240">
        <f>E38*0.097*0.00220462/2000*49100</f>
        <v>6986.9344539191161</v>
      </c>
      <c r="Q38" s="108">
        <f>G38+L38+M38+N38+P38+O38</f>
        <v>822652.18873511534</v>
      </c>
      <c r="R38" s="108">
        <f t="shared" si="9"/>
        <v>77052.021746897852</v>
      </c>
    </row>
    <row r="39" spans="1:18" s="58" customFormat="1" ht="16.5" customHeight="1" thickBot="1" x14ac:dyDescent="0.4">
      <c r="A39" s="241"/>
      <c r="B39" s="76" t="s">
        <v>2</v>
      </c>
      <c r="G39" s="109">
        <f>SUM(G3:G38)</f>
        <v>1010032.7058802689</v>
      </c>
      <c r="L39" s="109">
        <f>SUM(L3:L38)</f>
        <v>2378249.7074912153</v>
      </c>
      <c r="M39" s="109">
        <f>SUM(M3:M38)</f>
        <v>759562.37969719432</v>
      </c>
      <c r="N39" s="267">
        <f>SUM(N3:P38)</f>
        <v>7288500.0190593023</v>
      </c>
      <c r="O39" s="268"/>
      <c r="P39" s="269"/>
      <c r="Q39" s="109">
        <f>SUM(Q3:Q38)</f>
        <v>11436344.812127981</v>
      </c>
      <c r="R39" s="110">
        <f>SUM(R3:R38)</f>
        <v>2253177.5341580082</v>
      </c>
    </row>
    <row r="40" spans="1:18" ht="15" customHeight="1" x14ac:dyDescent="0.3">
      <c r="G40" s="111">
        <f>G39/Q39</f>
        <v>8.8317790559196183E-2</v>
      </c>
      <c r="H40" s="112"/>
      <c r="I40" s="112"/>
      <c r="J40" s="112"/>
      <c r="K40" s="112"/>
      <c r="L40" s="111">
        <f>L39/Q39</f>
        <v>0.20795540415755356</v>
      </c>
      <c r="M40" s="111">
        <f>M39/Q39</f>
        <v>6.6416533619351514E-2</v>
      </c>
      <c r="N40" s="270">
        <f>N39/Q39</f>
        <v>0.63731027166389864</v>
      </c>
      <c r="O40" s="270"/>
      <c r="P40" s="270"/>
      <c r="Q40" s="113">
        <f>SUM(N40,M40,L40,G40)</f>
        <v>0.99999999999999989</v>
      </c>
    </row>
    <row r="41" spans="1:18" ht="15" customHeight="1" x14ac:dyDescent="0.3">
      <c r="G41" s="93"/>
      <c r="H41" s="93"/>
      <c r="I41" s="93"/>
      <c r="J41" s="93"/>
      <c r="K41" s="93"/>
      <c r="L41" s="93"/>
      <c r="M41" s="93"/>
      <c r="N41" s="93"/>
      <c r="O41" s="93"/>
      <c r="P41" s="93"/>
      <c r="Q41" s="114"/>
    </row>
    <row r="42" spans="1:18" s="58" customFormat="1" x14ac:dyDescent="0.3">
      <c r="G42" s="93"/>
      <c r="H42" s="93"/>
      <c r="I42" s="93"/>
      <c r="J42" s="93"/>
      <c r="K42" s="93"/>
      <c r="L42" s="93"/>
      <c r="M42" s="93"/>
      <c r="N42" s="93"/>
      <c r="O42" s="93"/>
      <c r="P42" s="93"/>
      <c r="Q42" s="114"/>
    </row>
    <row r="43" spans="1:18" ht="15" customHeight="1" x14ac:dyDescent="0.3">
      <c r="G43" s="93"/>
      <c r="H43" s="93"/>
      <c r="I43" s="93"/>
      <c r="J43" s="93"/>
      <c r="K43" s="93"/>
      <c r="L43" s="93"/>
      <c r="M43" s="93"/>
      <c r="N43" s="93"/>
      <c r="O43" s="93"/>
      <c r="P43" s="93"/>
      <c r="Q43" s="114"/>
    </row>
    <row r="44" spans="1:18" ht="15" customHeight="1" x14ac:dyDescent="0.3">
      <c r="G44" s="93"/>
      <c r="H44" s="93"/>
      <c r="I44" s="93"/>
      <c r="J44" s="93"/>
      <c r="K44" s="93"/>
      <c r="L44" s="93"/>
      <c r="M44" s="93"/>
      <c r="N44" s="93"/>
      <c r="O44" s="93"/>
      <c r="P44" s="93"/>
      <c r="Q44" s="114"/>
    </row>
    <row r="45" spans="1:18" ht="15" customHeight="1" x14ac:dyDescent="0.3">
      <c r="G45" s="93"/>
      <c r="H45" s="93"/>
      <c r="I45" s="93"/>
      <c r="J45" s="93"/>
      <c r="K45" s="93"/>
      <c r="L45" s="93"/>
      <c r="M45" s="93"/>
      <c r="N45" s="93"/>
      <c r="O45" s="93"/>
      <c r="P45" s="93"/>
      <c r="Q45" s="114"/>
    </row>
    <row r="46" spans="1:18" ht="15" customHeight="1" x14ac:dyDescent="0.3">
      <c r="G46" s="93"/>
      <c r="H46" s="93"/>
      <c r="I46" s="93"/>
      <c r="J46" s="93"/>
      <c r="K46" s="93"/>
      <c r="L46" s="93"/>
      <c r="M46" s="93"/>
      <c r="N46" s="93"/>
      <c r="O46" s="93"/>
      <c r="P46" s="93"/>
      <c r="Q46" s="114"/>
    </row>
    <row r="47" spans="1:18" ht="15" customHeight="1" x14ac:dyDescent="0.3">
      <c r="G47" s="93"/>
      <c r="H47" s="93"/>
      <c r="I47" s="93"/>
      <c r="J47" s="93"/>
      <c r="K47" s="93"/>
      <c r="L47" s="93"/>
      <c r="M47" s="93"/>
      <c r="N47" s="93"/>
      <c r="O47" s="93"/>
      <c r="P47" s="93"/>
      <c r="Q47" s="114"/>
    </row>
    <row r="48" spans="1:18" ht="15" customHeight="1" x14ac:dyDescent="0.3">
      <c r="G48" s="93"/>
      <c r="H48" s="93"/>
      <c r="I48" s="93"/>
      <c r="J48" s="93"/>
      <c r="K48" s="93"/>
      <c r="L48" s="93"/>
      <c r="M48" s="93"/>
      <c r="N48" s="93"/>
      <c r="O48" s="93"/>
      <c r="P48" s="93"/>
      <c r="Q48" s="114"/>
    </row>
    <row r="49" spans="7:17" ht="15" customHeight="1" x14ac:dyDescent="0.3">
      <c r="G49" s="93"/>
      <c r="H49" s="93"/>
      <c r="I49" s="93"/>
      <c r="J49" s="93"/>
      <c r="K49" s="93"/>
      <c r="L49" s="93"/>
      <c r="M49" s="93"/>
      <c r="N49" s="93"/>
      <c r="O49" s="93"/>
      <c r="P49" s="93"/>
      <c r="Q49" s="114"/>
    </row>
    <row r="50" spans="7:17" ht="15" customHeight="1" x14ac:dyDescent="0.3">
      <c r="G50" s="93"/>
      <c r="H50" s="93"/>
      <c r="I50" s="93"/>
      <c r="J50" s="93"/>
      <c r="K50" s="93"/>
      <c r="L50" s="93"/>
      <c r="M50" s="93"/>
      <c r="N50" s="93"/>
      <c r="O50" s="93"/>
      <c r="P50" s="93"/>
      <c r="Q50" s="114"/>
    </row>
    <row r="51" spans="7:17" ht="15" customHeight="1" x14ac:dyDescent="0.3">
      <c r="G51" s="93"/>
      <c r="H51" s="93"/>
      <c r="I51" s="93"/>
      <c r="J51" s="93"/>
      <c r="K51" s="93"/>
      <c r="L51" s="93"/>
      <c r="M51" s="93"/>
      <c r="N51" s="93"/>
      <c r="O51" s="93"/>
      <c r="P51" s="93"/>
      <c r="Q51" s="114"/>
    </row>
    <row r="52" spans="7:17" ht="15" customHeight="1" x14ac:dyDescent="0.3">
      <c r="G52" s="93"/>
      <c r="H52" s="93"/>
      <c r="I52" s="93"/>
      <c r="J52" s="93"/>
      <c r="K52" s="93"/>
      <c r="L52" s="93"/>
      <c r="M52" s="93"/>
      <c r="N52" s="93"/>
      <c r="O52" s="93"/>
      <c r="P52" s="93"/>
      <c r="Q52" s="114"/>
    </row>
    <row r="53" spans="7:17" ht="15" customHeight="1" x14ac:dyDescent="0.3">
      <c r="G53" s="93"/>
      <c r="H53" s="93"/>
      <c r="I53" s="93"/>
      <c r="J53" s="93"/>
      <c r="K53" s="93"/>
      <c r="L53" s="93"/>
      <c r="M53" s="93"/>
      <c r="N53" s="93"/>
      <c r="O53" s="93"/>
      <c r="P53" s="93"/>
      <c r="Q53" s="114"/>
    </row>
    <row r="54" spans="7:17" ht="15" customHeight="1" x14ac:dyDescent="0.3">
      <c r="G54" s="93"/>
      <c r="H54" s="93"/>
      <c r="I54" s="93"/>
      <c r="J54" s="93"/>
      <c r="K54" s="93"/>
      <c r="L54" s="93"/>
      <c r="M54" s="93"/>
      <c r="N54" s="93"/>
      <c r="O54" s="93"/>
      <c r="P54" s="93"/>
      <c r="Q54" s="114"/>
    </row>
    <row r="55" spans="7:17" ht="15" customHeight="1" x14ac:dyDescent="0.3">
      <c r="G55" s="93"/>
      <c r="H55" s="93"/>
      <c r="I55" s="93"/>
      <c r="J55" s="93"/>
      <c r="K55" s="93"/>
      <c r="L55" s="93"/>
      <c r="M55" s="93"/>
      <c r="N55" s="93"/>
      <c r="O55" s="93"/>
      <c r="P55" s="93"/>
      <c r="Q55" s="114"/>
    </row>
    <row r="56" spans="7:17" ht="15" customHeight="1" x14ac:dyDescent="0.3">
      <c r="G56" s="93"/>
      <c r="H56" s="93"/>
      <c r="I56" s="93"/>
      <c r="J56" s="93"/>
      <c r="K56" s="93"/>
      <c r="L56" s="93"/>
      <c r="M56" s="93"/>
      <c r="N56" s="93"/>
      <c r="O56" s="93"/>
      <c r="P56" s="93"/>
      <c r="Q56" s="114"/>
    </row>
    <row r="57" spans="7:17" ht="15" customHeight="1" x14ac:dyDescent="0.3">
      <c r="G57" s="93"/>
      <c r="H57" s="93"/>
      <c r="I57" s="93"/>
      <c r="J57" s="93"/>
      <c r="K57" s="93"/>
      <c r="L57" s="93"/>
      <c r="M57" s="93"/>
      <c r="N57" s="93"/>
      <c r="O57" s="93"/>
      <c r="P57" s="93"/>
      <c r="Q57" s="114"/>
    </row>
    <row r="58" spans="7:17" ht="15" customHeight="1" x14ac:dyDescent="0.3">
      <c r="G58" s="93"/>
      <c r="H58" s="93"/>
      <c r="I58" s="93"/>
      <c r="J58" s="93"/>
      <c r="K58" s="93"/>
      <c r="L58" s="93"/>
      <c r="M58" s="93"/>
      <c r="N58" s="93"/>
      <c r="O58" s="93"/>
      <c r="P58" s="93"/>
      <c r="Q58" s="114"/>
    </row>
    <row r="59" spans="7:17" ht="15" customHeight="1" x14ac:dyDescent="0.3">
      <c r="G59" s="93"/>
      <c r="H59" s="93"/>
      <c r="I59" s="93"/>
      <c r="J59" s="93"/>
      <c r="K59" s="93"/>
      <c r="L59" s="93"/>
      <c r="M59" s="93"/>
      <c r="N59" s="93"/>
      <c r="O59" s="93"/>
      <c r="P59" s="93"/>
      <c r="Q59" s="114"/>
    </row>
    <row r="60" spans="7:17" ht="15" customHeight="1" x14ac:dyDescent="0.3">
      <c r="G60" s="93"/>
      <c r="H60" s="93"/>
      <c r="I60" s="93"/>
      <c r="J60" s="93"/>
      <c r="K60" s="93"/>
      <c r="L60" s="93"/>
      <c r="M60" s="93"/>
      <c r="N60" s="93"/>
      <c r="O60" s="93"/>
      <c r="P60" s="93"/>
      <c r="Q60" s="114"/>
    </row>
    <row r="61" spans="7:17" ht="15" customHeight="1" x14ac:dyDescent="0.3">
      <c r="G61" s="93"/>
      <c r="H61" s="93"/>
      <c r="I61" s="93"/>
      <c r="J61" s="93"/>
      <c r="K61" s="93"/>
      <c r="L61" s="93"/>
      <c r="M61" s="93"/>
      <c r="N61" s="93"/>
      <c r="O61" s="93"/>
      <c r="P61" s="93"/>
      <c r="Q61" s="114"/>
    </row>
    <row r="62" spans="7:17" ht="15" customHeight="1" x14ac:dyDescent="0.3">
      <c r="G62" s="93"/>
      <c r="H62" s="93"/>
      <c r="I62" s="93"/>
      <c r="J62" s="93"/>
      <c r="K62" s="93"/>
      <c r="L62" s="93"/>
      <c r="M62" s="93"/>
      <c r="N62" s="93"/>
      <c r="O62" s="93"/>
      <c r="P62" s="93"/>
      <c r="Q62" s="114"/>
    </row>
    <row r="63" spans="7:17" ht="15" customHeight="1" x14ac:dyDescent="0.3">
      <c r="G63" s="93"/>
      <c r="H63" s="93"/>
      <c r="I63" s="93"/>
      <c r="J63" s="93"/>
      <c r="K63" s="93"/>
      <c r="L63" s="93"/>
      <c r="M63" s="93"/>
      <c r="N63" s="93"/>
      <c r="O63" s="93"/>
      <c r="P63" s="93"/>
      <c r="Q63" s="114"/>
    </row>
    <row r="64" spans="7:17" ht="15" customHeight="1" x14ac:dyDescent="0.3">
      <c r="G64" s="93"/>
      <c r="H64" s="93"/>
      <c r="I64" s="93"/>
      <c r="J64" s="93"/>
      <c r="K64" s="93"/>
      <c r="L64" s="93"/>
      <c r="M64" s="93"/>
      <c r="N64" s="93"/>
      <c r="O64" s="93"/>
      <c r="P64" s="93"/>
      <c r="Q64" s="114"/>
    </row>
    <row r="65" spans="7:17" ht="15" customHeight="1" x14ac:dyDescent="0.3">
      <c r="G65" s="93"/>
      <c r="H65" s="93"/>
      <c r="I65" s="93"/>
      <c r="J65" s="93"/>
      <c r="K65" s="93"/>
      <c r="L65" s="93"/>
      <c r="M65" s="93"/>
      <c r="N65" s="93"/>
      <c r="O65" s="93"/>
      <c r="P65" s="93"/>
      <c r="Q65" s="114"/>
    </row>
    <row r="66" spans="7:17" ht="15" customHeight="1" x14ac:dyDescent="0.3">
      <c r="G66" s="93"/>
      <c r="H66" s="93"/>
      <c r="I66" s="93"/>
      <c r="J66" s="93"/>
      <c r="K66" s="93"/>
      <c r="L66" s="93"/>
      <c r="M66" s="93"/>
      <c r="N66" s="93"/>
      <c r="O66" s="93"/>
      <c r="P66" s="93"/>
      <c r="Q66" s="114"/>
    </row>
    <row r="67" spans="7:17" ht="15" customHeight="1" x14ac:dyDescent="0.3">
      <c r="G67" s="93"/>
      <c r="H67" s="93"/>
      <c r="I67" s="93"/>
      <c r="J67" s="93"/>
      <c r="K67" s="93"/>
      <c r="L67" s="93"/>
      <c r="M67" s="93"/>
      <c r="N67" s="93"/>
      <c r="O67" s="93"/>
      <c r="P67" s="93"/>
      <c r="Q67" s="114"/>
    </row>
    <row r="68" spans="7:17" ht="15" customHeight="1" x14ac:dyDescent="0.3">
      <c r="G68" s="93"/>
      <c r="H68" s="93"/>
      <c r="I68" s="93"/>
      <c r="J68" s="93"/>
      <c r="K68" s="93"/>
      <c r="L68" s="93"/>
      <c r="M68" s="93"/>
      <c r="N68" s="93"/>
      <c r="O68" s="93"/>
      <c r="P68" s="93"/>
      <c r="Q68" s="114"/>
    </row>
    <row r="69" spans="7:17" ht="15" customHeight="1" x14ac:dyDescent="0.3">
      <c r="G69" s="93"/>
      <c r="H69" s="93"/>
      <c r="I69" s="93"/>
      <c r="J69" s="93"/>
      <c r="K69" s="93"/>
      <c r="L69" s="93"/>
      <c r="M69" s="93"/>
      <c r="N69" s="93"/>
      <c r="O69" s="93"/>
      <c r="P69" s="93"/>
      <c r="Q69" s="114"/>
    </row>
    <row r="70" spans="7:17" ht="15" customHeight="1" x14ac:dyDescent="0.3">
      <c r="G70" s="93"/>
      <c r="H70" s="93"/>
      <c r="I70" s="93"/>
      <c r="J70" s="93"/>
      <c r="K70" s="93"/>
      <c r="L70" s="93"/>
      <c r="M70" s="93"/>
      <c r="N70" s="93"/>
      <c r="O70" s="93"/>
      <c r="P70" s="93"/>
      <c r="Q70" s="114"/>
    </row>
    <row r="71" spans="7:17" ht="15" customHeight="1" x14ac:dyDescent="0.3">
      <c r="G71" s="93"/>
      <c r="H71" s="93"/>
      <c r="I71" s="93"/>
      <c r="J71" s="93"/>
      <c r="K71" s="93"/>
      <c r="L71" s="93"/>
      <c r="M71" s="93"/>
      <c r="N71" s="93"/>
      <c r="O71" s="93"/>
      <c r="P71" s="93"/>
      <c r="Q71" s="114"/>
    </row>
    <row r="72" spans="7:17" ht="15" customHeight="1" x14ac:dyDescent="0.3">
      <c r="G72" s="93"/>
      <c r="H72" s="93"/>
      <c r="I72" s="93"/>
      <c r="J72" s="93"/>
      <c r="K72" s="93"/>
      <c r="L72" s="93"/>
      <c r="M72" s="93"/>
      <c r="N72" s="93"/>
      <c r="O72" s="93"/>
      <c r="P72" s="93"/>
      <c r="Q72" s="114"/>
    </row>
  </sheetData>
  <mergeCells count="2">
    <mergeCell ref="N39:P39"/>
    <mergeCell ref="N40:P40"/>
  </mergeCells>
  <pageMargins left="0.75" right="0.75" top="1" bottom="1" header="0.5" footer="0.5"/>
  <pageSetup scale="22" orientation="portrait" horizontalDpi="4294967292" verticalDpi="4294967292"/>
  <headerFooter>
    <oddFooter>&amp;L&amp;"Helvetica,Regular"&amp;12&amp;K000000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242B4-453E-49B3-8672-DCBFE0665A8F}">
  <sheetPr>
    <tabColor rgb="FF00B050"/>
    <pageSetUpPr fitToPage="1"/>
  </sheetPr>
  <dimension ref="A1:IU39"/>
  <sheetViews>
    <sheetView showGridLines="0" workbookViewId="0"/>
  </sheetViews>
  <sheetFormatPr defaultColWidth="6.59765625" defaultRowHeight="15" customHeight="1" x14ac:dyDescent="0.3"/>
  <cols>
    <col min="1" max="1" width="3.6640625" style="58" customWidth="1"/>
    <col min="2" max="2" width="10.1328125" style="58" customWidth="1"/>
    <col min="3" max="3" width="13.59765625" style="58" customWidth="1"/>
    <col min="4" max="4" width="14.9296875" style="58" customWidth="1"/>
    <col min="5" max="5" width="11.19921875" style="58" customWidth="1"/>
    <col min="6" max="7" width="12.19921875" style="58" customWidth="1"/>
    <col min="8" max="8" width="13.06640625" style="58" customWidth="1"/>
    <col min="9" max="10" width="6.59765625" style="58" customWidth="1"/>
    <col min="11" max="11" width="4.6640625" style="143" customWidth="1"/>
    <col min="12" max="12" width="6.59765625" style="143" customWidth="1"/>
    <col min="13" max="255" width="6.59765625" style="58" customWidth="1"/>
    <col min="256" max="16384" width="6.59765625" style="91"/>
  </cols>
  <sheetData>
    <row r="1" spans="1:255" ht="15" customHeight="1" thickBot="1" x14ac:dyDescent="0.4">
      <c r="A1" s="51" t="s">
        <v>3</v>
      </c>
      <c r="B1" s="52" t="s">
        <v>4</v>
      </c>
      <c r="C1" s="53" t="s">
        <v>5</v>
      </c>
      <c r="D1" s="53" t="s">
        <v>6</v>
      </c>
      <c r="E1" s="53" t="s">
        <v>7</v>
      </c>
      <c r="F1" s="53" t="s">
        <v>8</v>
      </c>
      <c r="G1" s="53" t="s">
        <v>35</v>
      </c>
      <c r="H1" s="53" t="s">
        <v>36</v>
      </c>
    </row>
    <row r="2" spans="1:255" s="143" customFormat="1" ht="101.5" x14ac:dyDescent="0.35">
      <c r="A2" s="59" t="s">
        <v>0</v>
      </c>
      <c r="B2" s="139" t="s">
        <v>1</v>
      </c>
      <c r="C2" s="140" t="s">
        <v>67</v>
      </c>
      <c r="D2" s="140" t="s">
        <v>68</v>
      </c>
      <c r="E2" s="141" t="s">
        <v>69</v>
      </c>
      <c r="F2" s="60" t="s">
        <v>70</v>
      </c>
      <c r="G2" s="60" t="s">
        <v>71</v>
      </c>
      <c r="H2" s="60" t="s">
        <v>72</v>
      </c>
      <c r="I2" s="58"/>
      <c r="J2" s="58"/>
      <c r="K2" s="142"/>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c r="IN2" s="58"/>
      <c r="IO2" s="58"/>
      <c r="IP2" s="58"/>
      <c r="IQ2" s="58"/>
      <c r="IR2" s="58"/>
      <c r="IS2" s="58"/>
      <c r="IT2" s="58"/>
      <c r="IU2" s="58"/>
    </row>
    <row r="3" spans="1:255" s="143" customFormat="1" x14ac:dyDescent="0.35">
      <c r="A3" s="144">
        <v>0</v>
      </c>
      <c r="B3" s="145">
        <v>2020</v>
      </c>
      <c r="C3" s="145"/>
      <c r="D3" s="145"/>
      <c r="E3" s="145"/>
      <c r="F3" s="146"/>
      <c r="G3" s="146"/>
      <c r="H3" s="147"/>
      <c r="I3" s="58"/>
      <c r="J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c r="HR3" s="58"/>
      <c r="HS3" s="58"/>
      <c r="HT3" s="58"/>
      <c r="HU3" s="58"/>
      <c r="HV3" s="58"/>
      <c r="HW3" s="58"/>
      <c r="HX3" s="58"/>
      <c r="HY3" s="58"/>
      <c r="HZ3" s="58"/>
      <c r="IA3" s="58"/>
      <c r="IB3" s="58"/>
      <c r="IC3" s="58"/>
      <c r="ID3" s="58"/>
      <c r="IE3" s="58"/>
      <c r="IF3" s="58"/>
      <c r="IG3" s="58"/>
      <c r="IH3" s="58"/>
      <c r="II3" s="58"/>
      <c r="IJ3" s="58"/>
      <c r="IK3" s="58"/>
      <c r="IL3" s="58"/>
      <c r="IM3" s="58"/>
      <c r="IN3" s="58"/>
      <c r="IO3" s="58"/>
      <c r="IP3" s="58"/>
      <c r="IQ3" s="58"/>
      <c r="IR3" s="58"/>
      <c r="IS3" s="58"/>
      <c r="IT3" s="58"/>
      <c r="IU3" s="58"/>
    </row>
    <row r="4" spans="1:255" s="143" customFormat="1" x14ac:dyDescent="0.35">
      <c r="A4" s="144">
        <v>1</v>
      </c>
      <c r="B4" s="145">
        <v>2021</v>
      </c>
      <c r="C4" s="145"/>
      <c r="D4" s="145"/>
      <c r="E4" s="145"/>
      <c r="F4" s="146"/>
      <c r="G4" s="146"/>
      <c r="H4" s="147"/>
      <c r="I4" s="58"/>
      <c r="J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row>
    <row r="5" spans="1:255" s="143" customFormat="1" x14ac:dyDescent="0.35">
      <c r="A5" s="144">
        <v>2</v>
      </c>
      <c r="B5" s="145">
        <v>2022</v>
      </c>
      <c r="C5" s="145"/>
      <c r="D5" s="145"/>
      <c r="E5" s="145"/>
      <c r="F5" s="146"/>
      <c r="G5" s="146"/>
      <c r="H5" s="147"/>
      <c r="I5" s="58"/>
      <c r="J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c r="IR5" s="58"/>
      <c r="IS5" s="58"/>
      <c r="IT5" s="58"/>
      <c r="IU5" s="58"/>
    </row>
    <row r="6" spans="1:255" s="143" customFormat="1" x14ac:dyDescent="0.35">
      <c r="A6" s="144">
        <v>3</v>
      </c>
      <c r="B6" s="145">
        <v>2023</v>
      </c>
      <c r="C6" s="145"/>
      <c r="D6" s="145"/>
      <c r="E6" s="145"/>
      <c r="F6" s="146"/>
      <c r="G6" s="146"/>
      <c r="H6" s="147"/>
      <c r="I6" s="58"/>
      <c r="J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c r="HA6" s="58"/>
      <c r="HB6" s="58"/>
      <c r="HC6" s="58"/>
      <c r="HD6" s="58"/>
      <c r="HE6" s="58"/>
      <c r="HF6" s="58"/>
      <c r="HG6" s="58"/>
      <c r="HH6" s="58"/>
      <c r="HI6" s="58"/>
      <c r="HJ6" s="58"/>
      <c r="HK6" s="58"/>
      <c r="HL6" s="58"/>
      <c r="HM6" s="58"/>
      <c r="HN6" s="58"/>
      <c r="HO6" s="58"/>
      <c r="HP6" s="58"/>
      <c r="HQ6" s="58"/>
      <c r="HR6" s="58"/>
      <c r="HS6" s="58"/>
      <c r="HT6" s="58"/>
      <c r="HU6" s="58"/>
      <c r="HV6" s="58"/>
      <c r="HW6" s="58"/>
      <c r="HX6" s="58"/>
      <c r="HY6" s="58"/>
      <c r="HZ6" s="58"/>
      <c r="IA6" s="58"/>
      <c r="IB6" s="58"/>
      <c r="IC6" s="58"/>
      <c r="ID6" s="58"/>
      <c r="IE6" s="58"/>
      <c r="IF6" s="58"/>
      <c r="IG6" s="58"/>
      <c r="IH6" s="58"/>
      <c r="II6" s="58"/>
      <c r="IJ6" s="58"/>
      <c r="IK6" s="58"/>
      <c r="IL6" s="58"/>
      <c r="IM6" s="58"/>
      <c r="IN6" s="58"/>
      <c r="IO6" s="58"/>
      <c r="IP6" s="58"/>
      <c r="IQ6" s="58"/>
      <c r="IR6" s="58"/>
      <c r="IS6" s="58"/>
      <c r="IT6" s="58"/>
      <c r="IU6" s="58"/>
    </row>
    <row r="7" spans="1:255" s="143" customFormat="1" x14ac:dyDescent="0.35">
      <c r="A7" s="144">
        <v>4</v>
      </c>
      <c r="B7" s="145">
        <v>2024</v>
      </c>
      <c r="C7" s="145"/>
      <c r="D7" s="145"/>
      <c r="E7" s="145"/>
      <c r="F7" s="146"/>
      <c r="G7" s="146"/>
      <c r="H7" s="147"/>
      <c r="I7" s="58"/>
      <c r="J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c r="CQ7" s="58"/>
      <c r="CR7" s="58"/>
      <c r="CS7" s="58"/>
      <c r="CT7" s="58"/>
      <c r="CU7" s="58"/>
      <c r="CV7" s="58"/>
      <c r="CW7" s="58"/>
      <c r="CX7" s="58"/>
      <c r="CY7" s="58"/>
      <c r="CZ7" s="58"/>
      <c r="DA7" s="58"/>
      <c r="DB7" s="58"/>
      <c r="DC7" s="58"/>
      <c r="DD7" s="58"/>
      <c r="DE7" s="58"/>
      <c r="DF7" s="58"/>
      <c r="DG7" s="58"/>
      <c r="DH7" s="58"/>
      <c r="DI7" s="58"/>
      <c r="DJ7" s="58"/>
      <c r="DK7" s="58"/>
      <c r="DL7" s="58"/>
      <c r="DM7" s="58"/>
      <c r="DN7" s="58"/>
      <c r="DO7" s="58"/>
      <c r="DP7" s="58"/>
      <c r="DQ7" s="58"/>
      <c r="DR7" s="58"/>
      <c r="DS7" s="58"/>
      <c r="DT7" s="58"/>
      <c r="DU7" s="58"/>
      <c r="DV7" s="58"/>
      <c r="DW7" s="58"/>
      <c r="DX7" s="58"/>
      <c r="DY7" s="58"/>
      <c r="DZ7" s="58"/>
      <c r="EA7" s="58"/>
      <c r="EB7" s="58"/>
      <c r="EC7" s="58"/>
      <c r="ED7" s="58"/>
      <c r="EE7" s="58"/>
      <c r="EF7" s="58"/>
      <c r="EG7" s="58"/>
      <c r="EH7" s="58"/>
      <c r="EI7" s="58"/>
      <c r="EJ7" s="58"/>
      <c r="EK7" s="58"/>
      <c r="EL7" s="58"/>
      <c r="EM7" s="58"/>
      <c r="EN7" s="58"/>
      <c r="EO7" s="58"/>
      <c r="EP7" s="58"/>
      <c r="EQ7" s="58"/>
      <c r="ER7" s="58"/>
      <c r="ES7" s="58"/>
      <c r="ET7" s="58"/>
      <c r="EU7" s="58"/>
      <c r="EV7" s="58"/>
      <c r="EW7" s="58"/>
      <c r="EX7" s="58"/>
      <c r="EY7" s="58"/>
      <c r="EZ7" s="58"/>
      <c r="FA7" s="58"/>
      <c r="FB7" s="58"/>
      <c r="FC7" s="58"/>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c r="GP7" s="58"/>
      <c r="GQ7" s="58"/>
      <c r="GR7" s="58"/>
      <c r="GS7" s="58"/>
      <c r="GT7" s="58"/>
      <c r="GU7" s="58"/>
      <c r="GV7" s="58"/>
      <c r="GW7" s="58"/>
      <c r="GX7" s="58"/>
      <c r="GY7" s="58"/>
      <c r="GZ7" s="58"/>
      <c r="HA7" s="58"/>
      <c r="HB7" s="58"/>
      <c r="HC7" s="58"/>
      <c r="HD7" s="58"/>
      <c r="HE7" s="58"/>
      <c r="HF7" s="58"/>
      <c r="HG7" s="58"/>
      <c r="HH7" s="58"/>
      <c r="HI7" s="58"/>
      <c r="HJ7" s="58"/>
      <c r="HK7" s="58"/>
      <c r="HL7" s="58"/>
      <c r="HM7" s="58"/>
      <c r="HN7" s="58"/>
      <c r="HO7" s="58"/>
      <c r="HP7" s="58"/>
      <c r="HQ7" s="58"/>
      <c r="HR7" s="58"/>
      <c r="HS7" s="58"/>
      <c r="HT7" s="58"/>
      <c r="HU7" s="58"/>
      <c r="HV7" s="58"/>
      <c r="HW7" s="58"/>
      <c r="HX7" s="58"/>
      <c r="HY7" s="58"/>
      <c r="HZ7" s="58"/>
      <c r="IA7" s="58"/>
      <c r="IB7" s="58"/>
      <c r="IC7" s="58"/>
      <c r="ID7" s="58"/>
      <c r="IE7" s="58"/>
      <c r="IF7" s="58"/>
      <c r="IG7" s="58"/>
      <c r="IH7" s="58"/>
      <c r="II7" s="58"/>
      <c r="IJ7" s="58"/>
      <c r="IK7" s="58"/>
      <c r="IL7" s="58"/>
      <c r="IM7" s="58"/>
      <c r="IN7" s="58"/>
      <c r="IO7" s="58"/>
      <c r="IP7" s="58"/>
      <c r="IQ7" s="58"/>
      <c r="IR7" s="58"/>
      <c r="IS7" s="58"/>
      <c r="IT7" s="58"/>
      <c r="IU7" s="58"/>
    </row>
    <row r="8" spans="1:255" s="143" customFormat="1" x14ac:dyDescent="0.35">
      <c r="A8" s="144">
        <v>5</v>
      </c>
      <c r="B8" s="145">
        <v>2025</v>
      </c>
      <c r="C8" s="145"/>
      <c r="D8" s="145"/>
      <c r="E8" s="145"/>
      <c r="F8" s="146"/>
      <c r="G8" s="146"/>
      <c r="H8" s="147"/>
      <c r="I8" s="58"/>
      <c r="J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c r="CQ8" s="58"/>
      <c r="CR8" s="58"/>
      <c r="CS8" s="58"/>
      <c r="CT8" s="58"/>
      <c r="CU8" s="58"/>
      <c r="CV8" s="58"/>
      <c r="CW8" s="58"/>
      <c r="CX8" s="58"/>
      <c r="CY8" s="58"/>
      <c r="CZ8" s="58"/>
      <c r="DA8" s="58"/>
      <c r="DB8" s="58"/>
      <c r="DC8" s="58"/>
      <c r="DD8" s="58"/>
      <c r="DE8" s="58"/>
      <c r="DF8" s="58"/>
      <c r="DG8" s="58"/>
      <c r="DH8" s="58"/>
      <c r="DI8" s="58"/>
      <c r="DJ8" s="58"/>
      <c r="DK8" s="58"/>
      <c r="DL8" s="58"/>
      <c r="DM8" s="58"/>
      <c r="DN8" s="58"/>
      <c r="DO8" s="58"/>
      <c r="DP8" s="58"/>
      <c r="DQ8" s="58"/>
      <c r="DR8" s="58"/>
      <c r="DS8" s="58"/>
      <c r="DT8" s="58"/>
      <c r="DU8" s="58"/>
      <c r="DV8" s="58"/>
      <c r="DW8" s="58"/>
      <c r="DX8" s="58"/>
      <c r="DY8" s="58"/>
      <c r="DZ8" s="58"/>
      <c r="EA8" s="58"/>
      <c r="EB8" s="58"/>
      <c r="EC8" s="58"/>
      <c r="ED8" s="58"/>
      <c r="EE8" s="58"/>
      <c r="EF8" s="58"/>
      <c r="EG8" s="58"/>
      <c r="EH8" s="58"/>
      <c r="EI8" s="58"/>
      <c r="EJ8" s="58"/>
      <c r="EK8" s="58"/>
      <c r="EL8" s="58"/>
      <c r="EM8" s="58"/>
      <c r="EN8" s="58"/>
      <c r="EO8" s="58"/>
      <c r="EP8" s="58"/>
      <c r="EQ8" s="58"/>
      <c r="ER8" s="58"/>
      <c r="ES8" s="58"/>
      <c r="ET8" s="58"/>
      <c r="EU8" s="58"/>
      <c r="EV8" s="58"/>
      <c r="EW8" s="58"/>
      <c r="EX8" s="58"/>
      <c r="EY8" s="58"/>
      <c r="EZ8" s="58"/>
      <c r="FA8" s="58"/>
      <c r="FB8" s="58"/>
      <c r="FC8" s="58"/>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c r="IG8" s="58"/>
      <c r="IH8" s="58"/>
      <c r="II8" s="58"/>
      <c r="IJ8" s="58"/>
      <c r="IK8" s="58"/>
      <c r="IL8" s="58"/>
      <c r="IM8" s="58"/>
      <c r="IN8" s="58"/>
      <c r="IO8" s="58"/>
      <c r="IP8" s="58"/>
      <c r="IQ8" s="58"/>
      <c r="IR8" s="58"/>
      <c r="IS8" s="58"/>
      <c r="IT8" s="58"/>
      <c r="IU8" s="58"/>
    </row>
    <row r="9" spans="1:255" s="143" customFormat="1" x14ac:dyDescent="0.35">
      <c r="A9" s="144">
        <v>6</v>
      </c>
      <c r="B9" s="145">
        <v>2026</v>
      </c>
      <c r="C9" s="148">
        <f>'BNSF Carbon Calculator'!$F$24</f>
        <v>4357.4000000000005</v>
      </c>
      <c r="D9" s="148">
        <f>'BNSF Carbon Calculator'!$F$25</f>
        <v>13303.999999999998</v>
      </c>
      <c r="E9" s="149">
        <f>D9-C9</f>
        <v>8946.5999999999985</v>
      </c>
      <c r="F9" s="146">
        <v>57</v>
      </c>
      <c r="G9" s="147">
        <f>F9*E9</f>
        <v>509956.1999999999</v>
      </c>
      <c r="H9" s="147">
        <f>G9/(1+0.03)^A9</f>
        <v>427080.28909822094</v>
      </c>
      <c r="I9" s="58"/>
      <c r="J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c r="CQ9" s="58"/>
      <c r="CR9" s="58"/>
      <c r="CS9" s="58"/>
      <c r="CT9" s="58"/>
      <c r="CU9" s="58"/>
      <c r="CV9" s="58"/>
      <c r="CW9" s="58"/>
      <c r="CX9" s="58"/>
      <c r="CY9" s="58"/>
      <c r="CZ9" s="58"/>
      <c r="DA9" s="58"/>
      <c r="DB9" s="58"/>
      <c r="DC9" s="58"/>
      <c r="DD9" s="58"/>
      <c r="DE9" s="58"/>
      <c r="DF9" s="58"/>
      <c r="DG9" s="58"/>
      <c r="DH9" s="58"/>
      <c r="DI9" s="58"/>
      <c r="DJ9" s="58"/>
      <c r="DK9" s="58"/>
      <c r="DL9" s="58"/>
      <c r="DM9" s="58"/>
      <c r="DN9" s="58"/>
      <c r="DO9" s="58"/>
      <c r="DP9" s="58"/>
      <c r="DQ9" s="58"/>
      <c r="DR9" s="58"/>
      <c r="DS9" s="58"/>
      <c r="DT9" s="58"/>
      <c r="DU9" s="58"/>
      <c r="DV9" s="58"/>
      <c r="DW9" s="58"/>
      <c r="DX9" s="58"/>
      <c r="DY9" s="58"/>
      <c r="DZ9" s="58"/>
      <c r="EA9" s="58"/>
      <c r="EB9" s="58"/>
      <c r="EC9" s="58"/>
      <c r="ED9" s="58"/>
      <c r="EE9" s="58"/>
      <c r="EF9" s="58"/>
      <c r="EG9" s="58"/>
      <c r="EH9" s="58"/>
      <c r="EI9" s="58"/>
      <c r="EJ9" s="58"/>
      <c r="EK9" s="58"/>
      <c r="EL9" s="58"/>
      <c r="EM9" s="58"/>
      <c r="EN9" s="58"/>
      <c r="EO9" s="58"/>
      <c r="EP9" s="58"/>
      <c r="EQ9" s="58"/>
      <c r="ER9" s="58"/>
      <c r="ES9" s="58"/>
      <c r="ET9" s="58"/>
      <c r="EU9" s="58"/>
      <c r="EV9" s="58"/>
      <c r="EW9" s="58"/>
      <c r="EX9" s="58"/>
      <c r="EY9" s="58"/>
      <c r="EZ9" s="58"/>
      <c r="FA9" s="58"/>
      <c r="FB9" s="58"/>
      <c r="FC9" s="58"/>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c r="IG9" s="58"/>
      <c r="IH9" s="58"/>
      <c r="II9" s="58"/>
      <c r="IJ9" s="58"/>
      <c r="IK9" s="58"/>
      <c r="IL9" s="58"/>
      <c r="IM9" s="58"/>
      <c r="IN9" s="58"/>
      <c r="IO9" s="58"/>
      <c r="IP9" s="58"/>
      <c r="IQ9" s="58"/>
      <c r="IR9" s="58"/>
      <c r="IS9" s="58"/>
      <c r="IT9" s="58"/>
      <c r="IU9" s="58"/>
    </row>
    <row r="10" spans="1:255" s="143" customFormat="1" x14ac:dyDescent="0.35">
      <c r="A10" s="144">
        <v>7</v>
      </c>
      <c r="B10" s="145">
        <v>2027</v>
      </c>
      <c r="C10" s="148">
        <f>'BNSF Carbon Calculator'!$F$24</f>
        <v>4357.4000000000005</v>
      </c>
      <c r="D10" s="148">
        <f>'BNSF Carbon Calculator'!$F$25</f>
        <v>13303.999999999998</v>
      </c>
      <c r="E10" s="149">
        <f t="shared" ref="E10:E38" si="0">D10-C10</f>
        <v>8946.5999999999985</v>
      </c>
      <c r="F10" s="146">
        <v>58</v>
      </c>
      <c r="G10" s="147">
        <f t="shared" ref="G10:G38" si="1">F10*E10</f>
        <v>518902.79999999993</v>
      </c>
      <c r="H10" s="147">
        <f t="shared" ref="H10:H38" si="2">G10/(1+0.03)^A10</f>
        <v>421915.46189229796</v>
      </c>
      <c r="I10" s="58"/>
      <c r="J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c r="CQ10" s="58"/>
      <c r="CR10" s="58"/>
      <c r="CS10" s="58"/>
      <c r="CT10" s="58"/>
      <c r="CU10" s="58"/>
      <c r="CV10" s="58"/>
      <c r="CW10" s="58"/>
      <c r="CX10" s="58"/>
      <c r="CY10" s="58"/>
      <c r="CZ10" s="58"/>
      <c r="DA10" s="58"/>
      <c r="DB10" s="58"/>
      <c r="DC10" s="58"/>
      <c r="DD10" s="58"/>
      <c r="DE10" s="58"/>
      <c r="DF10" s="58"/>
      <c r="DG10" s="58"/>
      <c r="DH10" s="58"/>
      <c r="DI10" s="58"/>
      <c r="DJ10" s="58"/>
      <c r="DK10" s="58"/>
      <c r="DL10" s="58"/>
      <c r="DM10" s="58"/>
      <c r="DN10" s="58"/>
      <c r="DO10" s="58"/>
      <c r="DP10" s="58"/>
      <c r="DQ10" s="58"/>
      <c r="DR10" s="58"/>
      <c r="DS10" s="58"/>
      <c r="DT10" s="58"/>
      <c r="DU10" s="58"/>
      <c r="DV10" s="58"/>
      <c r="DW10" s="58"/>
      <c r="DX10" s="58"/>
      <c r="DY10" s="58"/>
      <c r="DZ10" s="58"/>
      <c r="EA10" s="58"/>
      <c r="EB10" s="58"/>
      <c r="EC10" s="58"/>
      <c r="ED10" s="58"/>
      <c r="EE10" s="58"/>
      <c r="EF10" s="58"/>
      <c r="EG10" s="58"/>
      <c r="EH10" s="58"/>
      <c r="EI10" s="58"/>
      <c r="EJ10" s="58"/>
      <c r="EK10" s="58"/>
      <c r="EL10" s="58"/>
      <c r="EM10" s="58"/>
      <c r="EN10" s="58"/>
      <c r="EO10" s="58"/>
      <c r="EP10" s="58"/>
      <c r="EQ10" s="58"/>
      <c r="ER10" s="58"/>
      <c r="ES10" s="58"/>
      <c r="ET10" s="58"/>
      <c r="EU10" s="58"/>
      <c r="EV10" s="58"/>
      <c r="EW10" s="58"/>
      <c r="EX10" s="58"/>
      <c r="EY10" s="58"/>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c r="IN10" s="58"/>
      <c r="IO10" s="58"/>
      <c r="IP10" s="58"/>
      <c r="IQ10" s="58"/>
      <c r="IR10" s="58"/>
      <c r="IS10" s="58"/>
      <c r="IT10" s="58"/>
      <c r="IU10" s="58"/>
    </row>
    <row r="11" spans="1:255" s="143" customFormat="1" x14ac:dyDescent="0.35">
      <c r="A11" s="144">
        <v>8</v>
      </c>
      <c r="B11" s="145">
        <v>2028</v>
      </c>
      <c r="C11" s="148">
        <f>'BNSF Carbon Calculator'!$F$24</f>
        <v>4357.4000000000005</v>
      </c>
      <c r="D11" s="148">
        <f>'BNSF Carbon Calculator'!$F$25</f>
        <v>13303.999999999998</v>
      </c>
      <c r="E11" s="149">
        <f t="shared" si="0"/>
        <v>8946.5999999999985</v>
      </c>
      <c r="F11" s="146">
        <v>60</v>
      </c>
      <c r="G11" s="147">
        <f t="shared" si="1"/>
        <v>536795.99999999988</v>
      </c>
      <c r="H11" s="147">
        <f t="shared" si="2"/>
        <v>423751.71934278338</v>
      </c>
      <c r="I11" s="58"/>
      <c r="J11" s="58"/>
      <c r="K11" s="150"/>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c r="EA11" s="58"/>
      <c r="EB11" s="58"/>
      <c r="EC11" s="58"/>
      <c r="ED11" s="58"/>
      <c r="EE11" s="58"/>
      <c r="EF11" s="58"/>
      <c r="EG11" s="58"/>
      <c r="EH11" s="58"/>
      <c r="EI11" s="58"/>
      <c r="EJ11" s="58"/>
      <c r="EK11" s="58"/>
      <c r="EL11" s="58"/>
      <c r="EM11" s="58"/>
      <c r="EN11" s="58"/>
      <c r="EO11" s="58"/>
      <c r="EP11" s="58"/>
      <c r="EQ11" s="58"/>
      <c r="ER11" s="58"/>
      <c r="ES11" s="58"/>
      <c r="ET11" s="58"/>
      <c r="EU11" s="58"/>
      <c r="EV11" s="58"/>
      <c r="EW11" s="58"/>
      <c r="EX11" s="58"/>
      <c r="EY11" s="58"/>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c r="IR11" s="58"/>
      <c r="IS11" s="58"/>
      <c r="IT11" s="58"/>
      <c r="IU11" s="58"/>
    </row>
    <row r="12" spans="1:255" s="143" customFormat="1" x14ac:dyDescent="0.35">
      <c r="A12" s="144">
        <v>9</v>
      </c>
      <c r="B12" s="145">
        <v>2029</v>
      </c>
      <c r="C12" s="148">
        <f>'BNSF Carbon Calculator'!$F$24</f>
        <v>4357.4000000000005</v>
      </c>
      <c r="D12" s="148">
        <f>'BNSF Carbon Calculator'!$F$25</f>
        <v>13303.999999999998</v>
      </c>
      <c r="E12" s="149">
        <f t="shared" si="0"/>
        <v>8946.5999999999985</v>
      </c>
      <c r="F12" s="146">
        <v>61</v>
      </c>
      <c r="G12" s="147">
        <f t="shared" si="1"/>
        <v>545742.59999999986</v>
      </c>
      <c r="H12" s="147">
        <f t="shared" si="2"/>
        <v>418266.26019271498</v>
      </c>
      <c r="I12" s="58"/>
      <c r="J12" s="58"/>
      <c r="K12" s="150"/>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row>
    <row r="13" spans="1:255" s="143" customFormat="1" x14ac:dyDescent="0.35">
      <c r="A13" s="144">
        <v>10</v>
      </c>
      <c r="B13" s="145">
        <v>2030</v>
      </c>
      <c r="C13" s="148">
        <f>'BNSF Carbon Calculator'!$F$24</f>
        <v>4357.4000000000005</v>
      </c>
      <c r="D13" s="148">
        <f>'BNSF Carbon Calculator'!$F$25</f>
        <v>13303.999999999998</v>
      </c>
      <c r="E13" s="149">
        <f t="shared" si="0"/>
        <v>8946.5999999999985</v>
      </c>
      <c r="F13" s="146">
        <v>62</v>
      </c>
      <c r="G13" s="147">
        <f t="shared" si="1"/>
        <v>554689.19999999995</v>
      </c>
      <c r="H13" s="147">
        <f t="shared" si="2"/>
        <v>412740.85837893252</v>
      </c>
      <c r="I13" s="58"/>
      <c r="J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c r="IR13" s="58"/>
      <c r="IS13" s="58"/>
      <c r="IT13" s="58"/>
      <c r="IU13" s="58"/>
    </row>
    <row r="14" spans="1:255" s="143" customFormat="1" x14ac:dyDescent="0.35">
      <c r="A14" s="144">
        <v>11</v>
      </c>
      <c r="B14" s="145">
        <v>2031</v>
      </c>
      <c r="C14" s="148">
        <f>'BNSF Carbon Calculator'!$F$24</f>
        <v>4357.4000000000005</v>
      </c>
      <c r="D14" s="148">
        <f>'BNSF Carbon Calculator'!$F$25</f>
        <v>13303.999999999998</v>
      </c>
      <c r="E14" s="149">
        <f t="shared" si="0"/>
        <v>8946.5999999999985</v>
      </c>
      <c r="F14" s="146">
        <v>63</v>
      </c>
      <c r="G14" s="147">
        <f t="shared" si="1"/>
        <v>563635.79999999993</v>
      </c>
      <c r="H14" s="147">
        <f t="shared" si="2"/>
        <v>407182.49417276459</v>
      </c>
      <c r="I14" s="58"/>
      <c r="J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row>
    <row r="15" spans="1:255" s="143" customFormat="1" x14ac:dyDescent="0.35">
      <c r="A15" s="144">
        <v>12</v>
      </c>
      <c r="B15" s="145">
        <v>2032</v>
      </c>
      <c r="C15" s="148">
        <f>'BNSF Carbon Calculator'!$F$24</f>
        <v>4357.4000000000005</v>
      </c>
      <c r="D15" s="148">
        <f>'BNSF Carbon Calculator'!$F$25</f>
        <v>13303.999999999998</v>
      </c>
      <c r="E15" s="149">
        <f t="shared" si="0"/>
        <v>8946.5999999999985</v>
      </c>
      <c r="F15" s="146">
        <v>64</v>
      </c>
      <c r="G15" s="147">
        <f t="shared" si="1"/>
        <v>572582.39999999991</v>
      </c>
      <c r="H15" s="147">
        <f t="shared" si="2"/>
        <v>401597.77511260501</v>
      </c>
      <c r="I15" s="58"/>
      <c r="J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c r="CQ15" s="58"/>
      <c r="CR15" s="58"/>
      <c r="CS15" s="58"/>
      <c r="CT15" s="58"/>
      <c r="CU15" s="58"/>
      <c r="CV15" s="58"/>
      <c r="CW15" s="58"/>
      <c r="CX15" s="58"/>
      <c r="CY15" s="58"/>
      <c r="CZ15" s="58"/>
      <c r="DA15" s="58"/>
      <c r="DB15" s="58"/>
      <c r="DC15" s="58"/>
      <c r="DD15" s="58"/>
      <c r="DE15" s="58"/>
      <c r="DF15" s="58"/>
      <c r="DG15" s="58"/>
      <c r="DH15" s="58"/>
      <c r="DI15" s="58"/>
      <c r="DJ15" s="58"/>
      <c r="DK15" s="58"/>
      <c r="DL15" s="58"/>
      <c r="DM15" s="58"/>
      <c r="DN15" s="58"/>
      <c r="DO15" s="58"/>
      <c r="DP15" s="58"/>
      <c r="DQ15" s="58"/>
      <c r="DR15" s="58"/>
      <c r="DS15" s="58"/>
      <c r="DT15" s="58"/>
      <c r="DU15" s="58"/>
      <c r="DV15" s="58"/>
      <c r="DW15" s="58"/>
      <c r="DX15" s="58"/>
      <c r="DY15" s="58"/>
      <c r="DZ15" s="58"/>
      <c r="EA15" s="58"/>
      <c r="EB15" s="58"/>
      <c r="EC15" s="58"/>
      <c r="ED15" s="58"/>
      <c r="EE15" s="58"/>
      <c r="EF15" s="58"/>
      <c r="EG15" s="58"/>
      <c r="EH15" s="58"/>
      <c r="EI15" s="58"/>
      <c r="EJ15" s="58"/>
      <c r="EK15" s="58"/>
      <c r="EL15" s="58"/>
      <c r="EM15" s="58"/>
      <c r="EN15" s="58"/>
      <c r="EO15" s="58"/>
      <c r="EP15" s="58"/>
      <c r="EQ15" s="58"/>
      <c r="ER15" s="58"/>
      <c r="ES15" s="58"/>
      <c r="ET15" s="58"/>
      <c r="EU15" s="58"/>
      <c r="EV15" s="58"/>
      <c r="EW15" s="58"/>
      <c r="EX15" s="58"/>
      <c r="EY15" s="58"/>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c r="IN15" s="58"/>
      <c r="IO15" s="58"/>
      <c r="IP15" s="58"/>
      <c r="IQ15" s="58"/>
      <c r="IR15" s="58"/>
      <c r="IS15" s="58"/>
      <c r="IT15" s="58"/>
      <c r="IU15" s="58"/>
    </row>
    <row r="16" spans="1:255" s="143" customFormat="1" x14ac:dyDescent="0.35">
      <c r="A16" s="144">
        <v>13</v>
      </c>
      <c r="B16" s="145">
        <v>2033</v>
      </c>
      <c r="C16" s="148">
        <f>'BNSF Carbon Calculator'!$F$24</f>
        <v>4357.4000000000005</v>
      </c>
      <c r="D16" s="148">
        <f>'BNSF Carbon Calculator'!$F$25</f>
        <v>13303.999999999998</v>
      </c>
      <c r="E16" s="149">
        <f t="shared" si="0"/>
        <v>8946.5999999999985</v>
      </c>
      <c r="F16" s="146">
        <v>65</v>
      </c>
      <c r="G16" s="147">
        <f t="shared" si="1"/>
        <v>581528.99999999988</v>
      </c>
      <c r="H16" s="147">
        <f t="shared" si="2"/>
        <v>395992.95179489267</v>
      </c>
      <c r="I16" s="58"/>
      <c r="J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row>
    <row r="17" spans="1:255" s="143" customFormat="1" x14ac:dyDescent="0.35">
      <c r="A17" s="144">
        <v>14</v>
      </c>
      <c r="B17" s="145">
        <v>2034</v>
      </c>
      <c r="C17" s="148">
        <f>'BNSF Carbon Calculator'!$F$24</f>
        <v>4357.4000000000005</v>
      </c>
      <c r="D17" s="148">
        <f>'BNSF Carbon Calculator'!$F$25</f>
        <v>13303.999999999998</v>
      </c>
      <c r="E17" s="149">
        <f t="shared" si="0"/>
        <v>8946.5999999999985</v>
      </c>
      <c r="F17" s="146">
        <v>66</v>
      </c>
      <c r="G17" s="147">
        <f t="shared" si="1"/>
        <v>590475.59999999986</v>
      </c>
      <c r="H17" s="147">
        <f t="shared" si="2"/>
        <v>390373.93306143262</v>
      </c>
      <c r="I17" s="58"/>
      <c r="J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c r="IR17" s="58"/>
      <c r="IS17" s="58"/>
      <c r="IT17" s="58"/>
      <c r="IU17" s="58"/>
    </row>
    <row r="18" spans="1:255" s="143" customFormat="1" x14ac:dyDescent="0.35">
      <c r="A18" s="144">
        <v>15</v>
      </c>
      <c r="B18" s="145">
        <v>2035</v>
      </c>
      <c r="C18" s="148">
        <f>'BNSF Carbon Calculator'!$F$24</f>
        <v>4357.4000000000005</v>
      </c>
      <c r="D18" s="148">
        <f>'BNSF Carbon Calculator'!$F$25</f>
        <v>13303.999999999998</v>
      </c>
      <c r="E18" s="149">
        <f t="shared" si="0"/>
        <v>8946.5999999999985</v>
      </c>
      <c r="F18" s="146">
        <v>67</v>
      </c>
      <c r="G18" s="147">
        <f t="shared" si="1"/>
        <v>599422.19999999995</v>
      </c>
      <c r="H18" s="147">
        <f t="shared" si="2"/>
        <v>384746.30060482473</v>
      </c>
      <c r="I18" s="58"/>
      <c r="J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c r="CQ18" s="58"/>
      <c r="CR18" s="58"/>
      <c r="CS18" s="58"/>
      <c r="CT18" s="58"/>
      <c r="CU18" s="58"/>
      <c r="CV18" s="58"/>
      <c r="CW18" s="58"/>
      <c r="CX18" s="58"/>
      <c r="CY18" s="58"/>
      <c r="CZ18" s="58"/>
      <c r="DA18" s="58"/>
      <c r="DB18" s="58"/>
      <c r="DC18" s="58"/>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row>
    <row r="19" spans="1:255" s="143" customFormat="1" x14ac:dyDescent="0.35">
      <c r="A19" s="144">
        <v>16</v>
      </c>
      <c r="B19" s="145">
        <v>2036</v>
      </c>
      <c r="C19" s="148">
        <f>'BNSF Carbon Calculator'!$F$24</f>
        <v>4357.4000000000005</v>
      </c>
      <c r="D19" s="148">
        <f>'BNSF Carbon Calculator'!$F$25</f>
        <v>13303.999999999998</v>
      </c>
      <c r="E19" s="149">
        <f t="shared" si="0"/>
        <v>8946.5999999999985</v>
      </c>
      <c r="F19" s="146">
        <v>69</v>
      </c>
      <c r="G19" s="147">
        <f t="shared" si="1"/>
        <v>617315.39999999991</v>
      </c>
      <c r="H19" s="147">
        <f t="shared" si="2"/>
        <v>384690.54835144052</v>
      </c>
      <c r="I19" s="58"/>
      <c r="J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c r="IF19" s="58"/>
      <c r="IG19" s="58"/>
      <c r="IH19" s="58"/>
      <c r="II19" s="58"/>
      <c r="IJ19" s="58"/>
      <c r="IK19" s="58"/>
      <c r="IL19" s="58"/>
      <c r="IM19" s="58"/>
      <c r="IN19" s="58"/>
      <c r="IO19" s="58"/>
      <c r="IP19" s="58"/>
      <c r="IQ19" s="58"/>
      <c r="IR19" s="58"/>
      <c r="IS19" s="58"/>
      <c r="IT19" s="58"/>
      <c r="IU19" s="58"/>
    </row>
    <row r="20" spans="1:255" s="143" customFormat="1" x14ac:dyDescent="0.35">
      <c r="A20" s="144">
        <v>17</v>
      </c>
      <c r="B20" s="145">
        <v>2037</v>
      </c>
      <c r="C20" s="148">
        <f>'BNSF Carbon Calculator'!$F$24</f>
        <v>4357.4000000000005</v>
      </c>
      <c r="D20" s="148">
        <f>'BNSF Carbon Calculator'!$F$25</f>
        <v>13303.999999999998</v>
      </c>
      <c r="E20" s="149">
        <f t="shared" si="0"/>
        <v>8946.5999999999985</v>
      </c>
      <c r="F20" s="146">
        <v>70</v>
      </c>
      <c r="G20" s="147">
        <f t="shared" si="1"/>
        <v>626261.99999999988</v>
      </c>
      <c r="H20" s="147">
        <f t="shared" si="2"/>
        <v>378898.80940763804</v>
      </c>
      <c r="I20" s="58"/>
      <c r="J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row>
    <row r="21" spans="1:255" s="143" customFormat="1" x14ac:dyDescent="0.35">
      <c r="A21" s="144">
        <v>18</v>
      </c>
      <c r="B21" s="145">
        <v>2038</v>
      </c>
      <c r="C21" s="148">
        <f>'BNSF Carbon Calculator'!$F$24</f>
        <v>4357.4000000000005</v>
      </c>
      <c r="D21" s="148">
        <f>'BNSF Carbon Calculator'!$F$25</f>
        <v>13303.999999999998</v>
      </c>
      <c r="E21" s="149">
        <f t="shared" si="0"/>
        <v>8946.5999999999985</v>
      </c>
      <c r="F21" s="146">
        <v>71</v>
      </c>
      <c r="G21" s="147">
        <f t="shared" si="1"/>
        <v>635208.59999999986</v>
      </c>
      <c r="H21" s="147">
        <f t="shared" si="2"/>
        <v>373118.10635148821</v>
      </c>
      <c r="I21" s="58"/>
      <c r="J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c r="CQ21" s="58"/>
      <c r="CR21" s="58"/>
      <c r="CS21" s="58"/>
      <c r="CT21" s="58"/>
      <c r="CU21" s="58"/>
      <c r="CV21" s="58"/>
      <c r="CW21" s="58"/>
      <c r="CX21" s="58"/>
      <c r="CY21" s="58"/>
      <c r="CZ21" s="58"/>
      <c r="DA21" s="58"/>
      <c r="DB21" s="58"/>
      <c r="DC21" s="58"/>
      <c r="DD21" s="58"/>
      <c r="DE21" s="58"/>
      <c r="DF21" s="58"/>
      <c r="DG21" s="58"/>
      <c r="DH21" s="58"/>
      <c r="DI21" s="58"/>
      <c r="DJ21" s="58"/>
      <c r="DK21" s="58"/>
      <c r="DL21" s="58"/>
      <c r="DM21" s="58"/>
      <c r="DN21" s="58"/>
      <c r="DO21" s="58"/>
      <c r="DP21" s="58"/>
      <c r="DQ21" s="58"/>
      <c r="DR21" s="58"/>
      <c r="DS21" s="58"/>
      <c r="DT21" s="58"/>
      <c r="DU21" s="58"/>
      <c r="DV21" s="58"/>
      <c r="DW21" s="58"/>
      <c r="DX21" s="58"/>
      <c r="DY21" s="58"/>
      <c r="DZ21" s="58"/>
      <c r="EA21" s="58"/>
      <c r="EB21" s="58"/>
      <c r="EC21" s="58"/>
      <c r="ED21" s="58"/>
      <c r="EE21" s="58"/>
      <c r="EF21" s="58"/>
      <c r="EG21" s="58"/>
      <c r="EH21" s="58"/>
      <c r="EI21" s="58"/>
      <c r="EJ21" s="58"/>
      <c r="EK21" s="58"/>
      <c r="EL21" s="58"/>
      <c r="EM21" s="58"/>
      <c r="EN21" s="58"/>
      <c r="EO21" s="58"/>
      <c r="EP21" s="58"/>
      <c r="EQ21" s="58"/>
      <c r="ER21" s="58"/>
      <c r="ES21" s="58"/>
      <c r="ET21" s="58"/>
      <c r="EU21" s="58"/>
      <c r="EV21" s="58"/>
      <c r="EW21" s="58"/>
      <c r="EX21" s="58"/>
      <c r="EY21" s="58"/>
      <c r="EZ21" s="58"/>
      <c r="FA21" s="58"/>
      <c r="FB21" s="58"/>
      <c r="FC21" s="58"/>
      <c r="FD21" s="58"/>
      <c r="FE21" s="58"/>
      <c r="FF21" s="58"/>
      <c r="FG21" s="58"/>
      <c r="FH21" s="58"/>
      <c r="FI21" s="58"/>
      <c r="FJ21" s="58"/>
      <c r="FK21" s="58"/>
      <c r="FL21" s="58"/>
      <c r="FM21" s="58"/>
      <c r="FN21" s="58"/>
      <c r="FO21" s="58"/>
      <c r="FP21" s="58"/>
      <c r="FQ21" s="58"/>
      <c r="FR21" s="58"/>
      <c r="FS21" s="58"/>
      <c r="FT21" s="58"/>
      <c r="FU21" s="58"/>
      <c r="FV21" s="58"/>
      <c r="FW21" s="58"/>
      <c r="FX21" s="58"/>
      <c r="FY21" s="58"/>
      <c r="FZ21" s="58"/>
      <c r="GA21" s="58"/>
      <c r="GB21" s="58"/>
      <c r="GC21" s="58"/>
      <c r="GD21" s="58"/>
      <c r="GE21" s="58"/>
      <c r="GF21" s="58"/>
      <c r="GG21" s="58"/>
      <c r="GH21" s="58"/>
      <c r="GI21" s="58"/>
      <c r="GJ21" s="58"/>
      <c r="GK21" s="58"/>
      <c r="GL21" s="58"/>
      <c r="GM21" s="58"/>
      <c r="GN21" s="58"/>
      <c r="GO21" s="58"/>
      <c r="GP21" s="58"/>
      <c r="GQ21" s="58"/>
      <c r="GR21" s="58"/>
      <c r="GS21" s="58"/>
      <c r="GT21" s="58"/>
      <c r="GU21" s="58"/>
      <c r="GV21" s="58"/>
      <c r="GW21" s="58"/>
      <c r="GX21" s="58"/>
      <c r="GY21" s="58"/>
      <c r="GZ21" s="58"/>
      <c r="HA21" s="58"/>
      <c r="HB21" s="58"/>
      <c r="HC21" s="58"/>
      <c r="HD21" s="58"/>
      <c r="HE21" s="58"/>
      <c r="HF21" s="58"/>
      <c r="HG21" s="58"/>
      <c r="HH21" s="58"/>
      <c r="HI21" s="58"/>
      <c r="HJ21" s="58"/>
      <c r="HK21" s="58"/>
      <c r="HL21" s="58"/>
      <c r="HM21" s="58"/>
      <c r="HN21" s="58"/>
      <c r="HO21" s="58"/>
      <c r="HP21" s="58"/>
      <c r="HQ21" s="58"/>
      <c r="HR21" s="58"/>
      <c r="HS21" s="58"/>
      <c r="HT21" s="58"/>
      <c r="HU21" s="58"/>
      <c r="HV21" s="58"/>
      <c r="HW21" s="58"/>
      <c r="HX21" s="58"/>
      <c r="HY21" s="58"/>
      <c r="HZ21" s="58"/>
      <c r="IA21" s="58"/>
      <c r="IB21" s="58"/>
      <c r="IC21" s="58"/>
      <c r="ID21" s="58"/>
      <c r="IE21" s="58"/>
      <c r="IF21" s="58"/>
      <c r="IG21" s="58"/>
      <c r="IH21" s="58"/>
      <c r="II21" s="58"/>
      <c r="IJ21" s="58"/>
      <c r="IK21" s="58"/>
      <c r="IL21" s="58"/>
      <c r="IM21" s="58"/>
      <c r="IN21" s="58"/>
      <c r="IO21" s="58"/>
      <c r="IP21" s="58"/>
      <c r="IQ21" s="58"/>
      <c r="IR21" s="58"/>
      <c r="IS21" s="58"/>
      <c r="IT21" s="58"/>
      <c r="IU21" s="58"/>
    </row>
    <row r="22" spans="1:255" s="143" customFormat="1" x14ac:dyDescent="0.35">
      <c r="A22" s="144">
        <v>19</v>
      </c>
      <c r="B22" s="145">
        <v>2039</v>
      </c>
      <c r="C22" s="148">
        <f>'BNSF Carbon Calculator'!$F$24</f>
        <v>4357.4000000000005</v>
      </c>
      <c r="D22" s="148">
        <f>'BNSF Carbon Calculator'!$F$25</f>
        <v>13303.999999999998</v>
      </c>
      <c r="E22" s="149">
        <f t="shared" si="0"/>
        <v>8946.5999999999985</v>
      </c>
      <c r="F22" s="146">
        <v>72</v>
      </c>
      <c r="G22" s="147">
        <f t="shared" si="1"/>
        <v>644155.19999999995</v>
      </c>
      <c r="H22" s="147">
        <f t="shared" si="2"/>
        <v>367352.7096582409</v>
      </c>
      <c r="I22" s="58"/>
      <c r="J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c r="CQ22" s="58"/>
      <c r="CR22" s="58"/>
      <c r="CS22" s="58"/>
      <c r="CT22" s="58"/>
      <c r="CU22" s="58"/>
      <c r="CV22" s="58"/>
      <c r="CW22" s="58"/>
      <c r="CX22" s="58"/>
      <c r="CY22" s="58"/>
      <c r="CZ22" s="58"/>
      <c r="DA22" s="58"/>
      <c r="DB22" s="58"/>
      <c r="DC22" s="58"/>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8"/>
      <c r="FD22" s="58"/>
      <c r="FE22" s="58"/>
      <c r="FF22" s="58"/>
      <c r="FG22" s="58"/>
      <c r="FH22" s="58"/>
      <c r="FI22" s="58"/>
      <c r="FJ22" s="58"/>
      <c r="FK22" s="58"/>
      <c r="FL22" s="58"/>
      <c r="FM22" s="58"/>
      <c r="FN22" s="58"/>
      <c r="FO22" s="58"/>
      <c r="FP22" s="58"/>
      <c r="FQ22" s="58"/>
      <c r="FR22" s="58"/>
      <c r="FS22" s="58"/>
      <c r="FT22" s="58"/>
      <c r="FU22" s="58"/>
      <c r="FV22" s="58"/>
      <c r="FW22" s="58"/>
      <c r="FX22" s="58"/>
      <c r="FY22" s="58"/>
      <c r="FZ22" s="58"/>
      <c r="GA22" s="58"/>
      <c r="GB22" s="58"/>
      <c r="GC22" s="58"/>
      <c r="GD22" s="58"/>
      <c r="GE22" s="58"/>
      <c r="GF22" s="58"/>
      <c r="GG22" s="58"/>
      <c r="GH22" s="58"/>
      <c r="GI22" s="58"/>
      <c r="GJ22" s="58"/>
      <c r="GK22" s="58"/>
      <c r="GL22" s="58"/>
      <c r="GM22" s="58"/>
      <c r="GN22" s="58"/>
      <c r="GO22" s="58"/>
      <c r="GP22" s="58"/>
      <c r="GQ22" s="58"/>
      <c r="GR22" s="58"/>
      <c r="GS22" s="58"/>
      <c r="GT22" s="58"/>
      <c r="GU22" s="58"/>
      <c r="GV22" s="58"/>
      <c r="GW22" s="58"/>
      <c r="GX22" s="58"/>
      <c r="GY22" s="58"/>
      <c r="GZ22" s="58"/>
      <c r="HA22" s="58"/>
      <c r="HB22" s="58"/>
      <c r="HC22" s="58"/>
      <c r="HD22" s="58"/>
      <c r="HE22" s="58"/>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row>
    <row r="23" spans="1:255" s="143" customFormat="1" x14ac:dyDescent="0.35">
      <c r="A23" s="144">
        <v>20</v>
      </c>
      <c r="B23" s="145">
        <v>2040</v>
      </c>
      <c r="C23" s="148">
        <f>'BNSF Carbon Calculator'!$F$24</f>
        <v>4357.4000000000005</v>
      </c>
      <c r="D23" s="148">
        <f>'BNSF Carbon Calculator'!$F$25</f>
        <v>13303.999999999998</v>
      </c>
      <c r="E23" s="149">
        <f t="shared" si="0"/>
        <v>8946.5999999999985</v>
      </c>
      <c r="F23" s="146">
        <v>73</v>
      </c>
      <c r="G23" s="147">
        <f t="shared" si="1"/>
        <v>653101.79999999993</v>
      </c>
      <c r="H23" s="147">
        <f t="shared" si="2"/>
        <v>361606.63167545287</v>
      </c>
      <c r="I23" s="58"/>
      <c r="J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c r="CQ23" s="58"/>
      <c r="CR23" s="58"/>
      <c r="CS23" s="58"/>
      <c r="CT23" s="58"/>
      <c r="CU23" s="58"/>
      <c r="CV23" s="58"/>
      <c r="CW23" s="58"/>
      <c r="CX23" s="58"/>
      <c r="CY23" s="58"/>
      <c r="CZ23" s="58"/>
      <c r="DA23" s="58"/>
      <c r="DB23" s="58"/>
      <c r="DC23" s="58"/>
      <c r="DD23" s="58"/>
      <c r="DE23" s="58"/>
      <c r="DF23" s="58"/>
      <c r="DG23" s="58"/>
      <c r="DH23" s="58"/>
      <c r="DI23" s="58"/>
      <c r="DJ23" s="58"/>
      <c r="DK23" s="58"/>
      <c r="DL23" s="58"/>
      <c r="DM23" s="58"/>
      <c r="DN23" s="58"/>
      <c r="DO23" s="58"/>
      <c r="DP23" s="58"/>
      <c r="DQ23" s="58"/>
      <c r="DR23" s="58"/>
      <c r="DS23" s="58"/>
      <c r="DT23" s="58"/>
      <c r="DU23" s="58"/>
      <c r="DV23" s="58"/>
      <c r="DW23" s="58"/>
      <c r="DX23" s="58"/>
      <c r="DY23" s="58"/>
      <c r="DZ23" s="58"/>
      <c r="EA23" s="58"/>
      <c r="EB23" s="58"/>
      <c r="EC23" s="58"/>
      <c r="ED23" s="58"/>
      <c r="EE23" s="58"/>
      <c r="EF23" s="58"/>
      <c r="EG23" s="58"/>
      <c r="EH23" s="58"/>
      <c r="EI23" s="58"/>
      <c r="EJ23" s="58"/>
      <c r="EK23" s="58"/>
      <c r="EL23" s="58"/>
      <c r="EM23" s="58"/>
      <c r="EN23" s="58"/>
      <c r="EO23" s="58"/>
      <c r="EP23" s="58"/>
      <c r="EQ23" s="58"/>
      <c r="ER23" s="58"/>
      <c r="ES23" s="58"/>
      <c r="ET23" s="58"/>
      <c r="EU23" s="58"/>
      <c r="EV23" s="58"/>
      <c r="EW23" s="58"/>
      <c r="EX23" s="58"/>
      <c r="EY23" s="58"/>
      <c r="EZ23" s="58"/>
      <c r="FA23" s="58"/>
      <c r="FB23" s="58"/>
      <c r="FC23" s="58"/>
      <c r="FD23" s="58"/>
      <c r="FE23" s="58"/>
      <c r="FF23" s="58"/>
      <c r="FG23" s="58"/>
      <c r="FH23" s="58"/>
      <c r="FI23" s="58"/>
      <c r="FJ23" s="58"/>
      <c r="FK23" s="58"/>
      <c r="FL23" s="58"/>
      <c r="FM23" s="58"/>
      <c r="FN23" s="58"/>
      <c r="FO23" s="58"/>
      <c r="FP23" s="58"/>
      <c r="FQ23" s="58"/>
      <c r="FR23" s="58"/>
      <c r="FS23" s="58"/>
      <c r="FT23" s="58"/>
      <c r="FU23" s="58"/>
      <c r="FV23" s="58"/>
      <c r="FW23" s="58"/>
      <c r="FX23" s="58"/>
      <c r="FY23" s="58"/>
      <c r="FZ23" s="58"/>
      <c r="GA23" s="58"/>
      <c r="GB23" s="58"/>
      <c r="GC23" s="58"/>
      <c r="GD23" s="58"/>
      <c r="GE23" s="58"/>
      <c r="GF23" s="58"/>
      <c r="GG23" s="58"/>
      <c r="GH23" s="58"/>
      <c r="GI23" s="58"/>
      <c r="GJ23" s="58"/>
      <c r="GK23" s="58"/>
      <c r="GL23" s="58"/>
      <c r="GM23" s="58"/>
      <c r="GN23" s="58"/>
      <c r="GO23" s="58"/>
      <c r="GP23" s="58"/>
      <c r="GQ23" s="58"/>
      <c r="GR23" s="58"/>
      <c r="GS23" s="58"/>
      <c r="GT23" s="58"/>
      <c r="GU23" s="58"/>
      <c r="GV23" s="58"/>
      <c r="GW23" s="58"/>
      <c r="GX23" s="58"/>
      <c r="GY23" s="58"/>
      <c r="GZ23" s="58"/>
      <c r="HA23" s="58"/>
      <c r="HB23" s="58"/>
      <c r="HC23" s="58"/>
      <c r="HD23" s="58"/>
      <c r="HE23" s="58"/>
      <c r="HF23" s="58"/>
      <c r="HG23" s="58"/>
      <c r="HH23" s="58"/>
      <c r="HI23" s="58"/>
      <c r="HJ23" s="58"/>
      <c r="HK23" s="58"/>
      <c r="HL23" s="58"/>
      <c r="HM23" s="58"/>
      <c r="HN23" s="58"/>
      <c r="HO23" s="58"/>
      <c r="HP23" s="58"/>
      <c r="HQ23" s="58"/>
      <c r="HR23" s="58"/>
      <c r="HS23" s="58"/>
      <c r="HT23" s="58"/>
      <c r="HU23" s="58"/>
      <c r="HV23" s="58"/>
      <c r="HW23" s="58"/>
      <c r="HX23" s="58"/>
      <c r="HY23" s="58"/>
      <c r="HZ23" s="58"/>
      <c r="IA23" s="58"/>
      <c r="IB23" s="58"/>
      <c r="IC23" s="58"/>
      <c r="ID23" s="58"/>
      <c r="IE23" s="58"/>
      <c r="IF23" s="58"/>
      <c r="IG23" s="58"/>
      <c r="IH23" s="58"/>
      <c r="II23" s="58"/>
      <c r="IJ23" s="58"/>
      <c r="IK23" s="58"/>
      <c r="IL23" s="58"/>
      <c r="IM23" s="58"/>
      <c r="IN23" s="58"/>
      <c r="IO23" s="58"/>
      <c r="IP23" s="58"/>
      <c r="IQ23" s="58"/>
      <c r="IR23" s="58"/>
      <c r="IS23" s="58"/>
      <c r="IT23" s="58"/>
      <c r="IU23" s="58"/>
    </row>
    <row r="24" spans="1:255" s="143" customFormat="1" x14ac:dyDescent="0.35">
      <c r="A24" s="144">
        <v>21</v>
      </c>
      <c r="B24" s="145">
        <v>2041</v>
      </c>
      <c r="C24" s="148">
        <f>'BNSF Carbon Calculator'!$F$24</f>
        <v>4357.4000000000005</v>
      </c>
      <c r="D24" s="148">
        <f>'BNSF Carbon Calculator'!$F$25</f>
        <v>13303.999999999998</v>
      </c>
      <c r="E24" s="149">
        <f t="shared" si="0"/>
        <v>8946.5999999999985</v>
      </c>
      <c r="F24" s="146">
        <v>74</v>
      </c>
      <c r="G24" s="147">
        <f t="shared" si="1"/>
        <v>662048.39999999991</v>
      </c>
      <c r="H24" s="147">
        <f t="shared" si="2"/>
        <v>355883.63803675375</v>
      </c>
      <c r="I24" s="58"/>
      <c r="J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c r="CQ24" s="58"/>
      <c r="CR24" s="58"/>
      <c r="CS24" s="58"/>
      <c r="CT24" s="58"/>
      <c r="CU24" s="58"/>
      <c r="CV24" s="58"/>
      <c r="CW24" s="58"/>
      <c r="CX24" s="58"/>
      <c r="CY24" s="58"/>
      <c r="CZ24" s="58"/>
      <c r="DA24" s="58"/>
      <c r="DB24" s="58"/>
      <c r="DC24" s="58"/>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58"/>
      <c r="EY24" s="58"/>
      <c r="EZ24" s="58"/>
      <c r="FA24" s="58"/>
      <c r="FB24" s="58"/>
      <c r="FC24" s="58"/>
      <c r="FD24" s="58"/>
      <c r="FE24" s="58"/>
      <c r="FF24" s="58"/>
      <c r="FG24" s="58"/>
      <c r="FH24" s="58"/>
      <c r="FI24" s="58"/>
      <c r="FJ24" s="58"/>
      <c r="FK24" s="58"/>
      <c r="FL24" s="58"/>
      <c r="FM24" s="58"/>
      <c r="FN24" s="58"/>
      <c r="FO24" s="58"/>
      <c r="FP24" s="58"/>
      <c r="FQ24" s="58"/>
      <c r="FR24" s="58"/>
      <c r="FS24" s="58"/>
      <c r="FT24" s="58"/>
      <c r="FU24" s="58"/>
      <c r="FV24" s="58"/>
      <c r="FW24" s="58"/>
      <c r="FX24" s="58"/>
      <c r="FY24" s="58"/>
      <c r="FZ24" s="58"/>
      <c r="GA24" s="58"/>
      <c r="GB24" s="58"/>
      <c r="GC24" s="58"/>
      <c r="GD24" s="58"/>
      <c r="GE24" s="58"/>
      <c r="GF24" s="58"/>
      <c r="GG24" s="58"/>
      <c r="GH24" s="58"/>
      <c r="GI24" s="58"/>
      <c r="GJ24" s="58"/>
      <c r="GK24" s="58"/>
      <c r="GL24" s="58"/>
      <c r="GM24" s="58"/>
      <c r="GN24" s="58"/>
      <c r="GO24" s="58"/>
      <c r="GP24" s="58"/>
      <c r="GQ24" s="58"/>
      <c r="GR24" s="58"/>
      <c r="GS24" s="58"/>
      <c r="GT24" s="58"/>
      <c r="GU24" s="58"/>
      <c r="GV24" s="58"/>
      <c r="GW24" s="58"/>
      <c r="GX24" s="58"/>
      <c r="GY24" s="58"/>
      <c r="GZ24" s="58"/>
      <c r="HA24" s="58"/>
      <c r="HB24" s="58"/>
      <c r="HC24" s="58"/>
      <c r="HD24" s="58"/>
      <c r="HE24" s="58"/>
      <c r="HF24" s="58"/>
      <c r="HG24" s="58"/>
      <c r="HH24" s="58"/>
      <c r="HI24" s="58"/>
      <c r="HJ24" s="58"/>
      <c r="HK24" s="58"/>
      <c r="HL24" s="58"/>
      <c r="HM24" s="58"/>
      <c r="HN24" s="58"/>
      <c r="HO24" s="58"/>
      <c r="HP24" s="58"/>
      <c r="HQ24" s="58"/>
      <c r="HR24" s="58"/>
      <c r="HS24" s="58"/>
      <c r="HT24" s="58"/>
      <c r="HU24" s="58"/>
      <c r="HV24" s="58"/>
      <c r="HW24" s="58"/>
      <c r="HX24" s="58"/>
      <c r="HY24" s="58"/>
      <c r="HZ24" s="58"/>
      <c r="IA24" s="58"/>
      <c r="IB24" s="58"/>
      <c r="IC24" s="58"/>
      <c r="ID24" s="58"/>
      <c r="IE24" s="58"/>
      <c r="IF24" s="58"/>
      <c r="IG24" s="58"/>
      <c r="IH24" s="58"/>
      <c r="II24" s="58"/>
      <c r="IJ24" s="58"/>
      <c r="IK24" s="58"/>
      <c r="IL24" s="58"/>
      <c r="IM24" s="58"/>
      <c r="IN24" s="58"/>
      <c r="IO24" s="58"/>
      <c r="IP24" s="58"/>
      <c r="IQ24" s="58"/>
      <c r="IR24" s="58"/>
      <c r="IS24" s="58"/>
      <c r="IT24" s="58"/>
      <c r="IU24" s="58"/>
    </row>
    <row r="25" spans="1:255" s="143" customFormat="1" x14ac:dyDescent="0.35">
      <c r="A25" s="144">
        <v>22</v>
      </c>
      <c r="B25" s="145">
        <v>2042</v>
      </c>
      <c r="C25" s="148">
        <f>'BNSF Carbon Calculator'!$F$24</f>
        <v>4357.4000000000005</v>
      </c>
      <c r="D25" s="148">
        <f>'BNSF Carbon Calculator'!$F$25</f>
        <v>13303.999999999998</v>
      </c>
      <c r="E25" s="149">
        <f t="shared" si="0"/>
        <v>8946.5999999999985</v>
      </c>
      <c r="F25" s="146">
        <v>75</v>
      </c>
      <c r="G25" s="147">
        <f t="shared" si="1"/>
        <v>670994.99999999988</v>
      </c>
      <c r="H25" s="147">
        <f t="shared" si="2"/>
        <v>350187.25862971041</v>
      </c>
      <c r="I25" s="58"/>
      <c r="J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c r="IJ25" s="58"/>
      <c r="IK25" s="58"/>
      <c r="IL25" s="58"/>
      <c r="IM25" s="58"/>
      <c r="IN25" s="58"/>
      <c r="IO25" s="58"/>
      <c r="IP25" s="58"/>
      <c r="IQ25" s="58"/>
      <c r="IR25" s="58"/>
      <c r="IS25" s="58"/>
      <c r="IT25" s="58"/>
      <c r="IU25" s="58"/>
    </row>
    <row r="26" spans="1:255" s="143" customFormat="1" x14ac:dyDescent="0.35">
      <c r="A26" s="144">
        <v>23</v>
      </c>
      <c r="B26" s="145">
        <v>2043</v>
      </c>
      <c r="C26" s="148">
        <f>'BNSF Carbon Calculator'!$F$24</f>
        <v>4357.4000000000005</v>
      </c>
      <c r="D26" s="148">
        <f>'BNSF Carbon Calculator'!$F$25</f>
        <v>13303.999999999998</v>
      </c>
      <c r="E26" s="149">
        <f t="shared" si="0"/>
        <v>8946.5999999999985</v>
      </c>
      <c r="F26" s="146">
        <v>77</v>
      </c>
      <c r="G26" s="147">
        <f t="shared" si="1"/>
        <v>688888.19999999984</v>
      </c>
      <c r="H26" s="147">
        <f t="shared" si="2"/>
        <v>349053.96653058508</v>
      </c>
      <c r="I26" s="58"/>
      <c r="J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58"/>
      <c r="CX26" s="58"/>
      <c r="CY26" s="58"/>
      <c r="CZ26" s="58"/>
      <c r="DA26" s="58"/>
      <c r="DB26" s="58"/>
      <c r="DC26" s="58"/>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8"/>
      <c r="FD26" s="58"/>
      <c r="FE26" s="58"/>
      <c r="FF26" s="58"/>
      <c r="FG26" s="58"/>
      <c r="FH26" s="58"/>
      <c r="FI26" s="58"/>
      <c r="FJ26" s="58"/>
      <c r="FK26" s="58"/>
      <c r="FL26" s="58"/>
      <c r="FM26" s="58"/>
      <c r="FN26" s="58"/>
      <c r="FO26" s="58"/>
      <c r="FP26" s="58"/>
      <c r="FQ26" s="58"/>
      <c r="FR26" s="58"/>
      <c r="FS26" s="58"/>
      <c r="FT26" s="58"/>
      <c r="FU26" s="58"/>
      <c r="FV26" s="58"/>
      <c r="FW26" s="58"/>
      <c r="FX26" s="58"/>
      <c r="FY26" s="58"/>
      <c r="FZ26" s="58"/>
      <c r="GA26" s="58"/>
      <c r="GB26" s="58"/>
      <c r="GC26" s="58"/>
      <c r="GD26" s="58"/>
      <c r="GE26" s="58"/>
      <c r="GF26" s="58"/>
      <c r="GG26" s="58"/>
      <c r="GH26" s="58"/>
      <c r="GI26" s="58"/>
      <c r="GJ26" s="58"/>
      <c r="GK26" s="58"/>
      <c r="GL26" s="58"/>
      <c r="GM26" s="58"/>
      <c r="GN26" s="58"/>
      <c r="GO26" s="58"/>
      <c r="GP26" s="58"/>
      <c r="GQ26" s="58"/>
      <c r="GR26" s="58"/>
      <c r="GS26" s="58"/>
      <c r="GT26" s="58"/>
      <c r="GU26" s="58"/>
      <c r="GV26" s="58"/>
      <c r="GW26" s="58"/>
      <c r="GX26" s="58"/>
      <c r="GY26" s="58"/>
      <c r="GZ26" s="58"/>
      <c r="HA26" s="58"/>
      <c r="HB26" s="58"/>
      <c r="HC26" s="58"/>
      <c r="HD26" s="58"/>
      <c r="HE26" s="58"/>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c r="IS26" s="58"/>
      <c r="IT26" s="58"/>
      <c r="IU26" s="58"/>
    </row>
    <row r="27" spans="1:255" s="143" customFormat="1" x14ac:dyDescent="0.35">
      <c r="A27" s="144">
        <v>24</v>
      </c>
      <c r="B27" s="145">
        <v>2044</v>
      </c>
      <c r="C27" s="148">
        <f>'BNSF Carbon Calculator'!$F$24</f>
        <v>4357.4000000000005</v>
      </c>
      <c r="D27" s="148">
        <f>'BNSF Carbon Calculator'!$F$25</f>
        <v>13303.999999999998</v>
      </c>
      <c r="E27" s="149">
        <f t="shared" si="0"/>
        <v>8946.5999999999985</v>
      </c>
      <c r="F27" s="146">
        <v>78</v>
      </c>
      <c r="G27" s="147">
        <f t="shared" si="1"/>
        <v>697834.79999999993</v>
      </c>
      <c r="H27" s="147">
        <f t="shared" si="2"/>
        <v>343288.48051173426</v>
      </c>
      <c r="I27" s="58"/>
      <c r="J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58"/>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58"/>
      <c r="FQ27" s="58"/>
      <c r="FR27" s="58"/>
      <c r="FS27" s="58"/>
      <c r="FT27" s="58"/>
      <c r="FU27" s="58"/>
      <c r="FV27" s="58"/>
      <c r="FW27" s="58"/>
      <c r="FX27" s="58"/>
      <c r="FY27" s="58"/>
      <c r="FZ27" s="58"/>
      <c r="GA27" s="58"/>
      <c r="GB27" s="58"/>
      <c r="GC27" s="58"/>
      <c r="GD27" s="58"/>
      <c r="GE27" s="58"/>
      <c r="GF27" s="58"/>
      <c r="GG27" s="58"/>
      <c r="GH27" s="58"/>
      <c r="GI27" s="58"/>
      <c r="GJ27" s="58"/>
      <c r="GK27" s="58"/>
      <c r="GL27" s="58"/>
      <c r="GM27" s="58"/>
      <c r="GN27" s="58"/>
      <c r="GO27" s="58"/>
      <c r="GP27" s="58"/>
      <c r="GQ27" s="58"/>
      <c r="GR27" s="58"/>
      <c r="GS27" s="58"/>
      <c r="GT27" s="58"/>
      <c r="GU27" s="58"/>
      <c r="GV27" s="58"/>
      <c r="GW27" s="58"/>
      <c r="GX27" s="58"/>
      <c r="GY27" s="58"/>
      <c r="GZ27" s="58"/>
      <c r="HA27" s="58"/>
      <c r="HB27" s="58"/>
      <c r="HC27" s="58"/>
      <c r="HD27" s="58"/>
      <c r="HE27" s="58"/>
      <c r="HF27" s="58"/>
      <c r="HG27" s="58"/>
      <c r="HH27" s="58"/>
      <c r="HI27" s="58"/>
      <c r="HJ27" s="58"/>
      <c r="HK27" s="58"/>
      <c r="HL27" s="58"/>
      <c r="HM27" s="58"/>
      <c r="HN27" s="58"/>
      <c r="HO27" s="58"/>
      <c r="HP27" s="58"/>
      <c r="HQ27" s="58"/>
      <c r="HR27" s="58"/>
      <c r="HS27" s="58"/>
      <c r="HT27" s="58"/>
      <c r="HU27" s="58"/>
      <c r="HV27" s="58"/>
      <c r="HW27" s="58"/>
      <c r="HX27" s="58"/>
      <c r="HY27" s="58"/>
      <c r="HZ27" s="58"/>
      <c r="IA27" s="58"/>
      <c r="IB27" s="58"/>
      <c r="IC27" s="58"/>
      <c r="ID27" s="58"/>
      <c r="IE27" s="58"/>
      <c r="IF27" s="58"/>
      <c r="IG27" s="58"/>
      <c r="IH27" s="58"/>
      <c r="II27" s="58"/>
      <c r="IJ27" s="58"/>
      <c r="IK27" s="58"/>
      <c r="IL27" s="58"/>
      <c r="IM27" s="58"/>
      <c r="IN27" s="58"/>
      <c r="IO27" s="58"/>
      <c r="IP27" s="58"/>
      <c r="IQ27" s="58"/>
      <c r="IR27" s="58"/>
      <c r="IS27" s="58"/>
      <c r="IT27" s="58"/>
      <c r="IU27" s="58"/>
    </row>
    <row r="28" spans="1:255" s="143" customFormat="1" x14ac:dyDescent="0.35">
      <c r="A28" s="144">
        <v>25</v>
      </c>
      <c r="B28" s="145">
        <v>2045</v>
      </c>
      <c r="C28" s="148">
        <f>'BNSF Carbon Calculator'!$F$24</f>
        <v>4357.4000000000005</v>
      </c>
      <c r="D28" s="148">
        <f>'BNSF Carbon Calculator'!$F$25</f>
        <v>13303.999999999998</v>
      </c>
      <c r="E28" s="149">
        <f t="shared" si="0"/>
        <v>8946.5999999999985</v>
      </c>
      <c r="F28" s="146">
        <v>79</v>
      </c>
      <c r="G28" s="147">
        <f t="shared" si="1"/>
        <v>706781.39999999991</v>
      </c>
      <c r="H28" s="147">
        <f t="shared" si="2"/>
        <v>337562.73289055272</v>
      </c>
      <c r="I28" s="58"/>
      <c r="J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c r="CQ28" s="58"/>
      <c r="CR28" s="58"/>
      <c r="CS28" s="58"/>
      <c r="CT28" s="58"/>
      <c r="CU28" s="58"/>
      <c r="CV28" s="58"/>
      <c r="CW28" s="58"/>
      <c r="CX28" s="58"/>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58"/>
      <c r="GR28" s="58"/>
      <c r="GS28" s="58"/>
      <c r="GT28" s="58"/>
      <c r="GU28" s="58"/>
      <c r="GV28" s="58"/>
      <c r="GW28" s="58"/>
      <c r="GX28" s="58"/>
      <c r="GY28" s="58"/>
      <c r="GZ28" s="58"/>
      <c r="HA28" s="58"/>
      <c r="HB28" s="58"/>
      <c r="HC28" s="58"/>
      <c r="HD28" s="58"/>
      <c r="HE28" s="58"/>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c r="IS28" s="58"/>
      <c r="IT28" s="58"/>
      <c r="IU28" s="58"/>
    </row>
    <row r="29" spans="1:255" s="143" customFormat="1" x14ac:dyDescent="0.35">
      <c r="A29" s="144">
        <v>26</v>
      </c>
      <c r="B29" s="145">
        <v>2046</v>
      </c>
      <c r="C29" s="148">
        <f>'BNSF Carbon Calculator'!$F$24</f>
        <v>4357.4000000000005</v>
      </c>
      <c r="D29" s="148">
        <f>'BNSF Carbon Calculator'!$F$25</f>
        <v>13303.999999999998</v>
      </c>
      <c r="E29" s="149">
        <f t="shared" si="0"/>
        <v>8946.5999999999985</v>
      </c>
      <c r="F29" s="146">
        <v>80</v>
      </c>
      <c r="G29" s="147">
        <f t="shared" si="1"/>
        <v>715727.99999999988</v>
      </c>
      <c r="H29" s="147">
        <f t="shared" si="2"/>
        <v>331879.29988010589</v>
      </c>
      <c r="I29" s="58"/>
      <c r="J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c r="CQ29" s="58"/>
      <c r="CR29" s="58"/>
      <c r="CS29" s="58"/>
      <c r="CT29" s="58"/>
      <c r="CU29" s="58"/>
      <c r="CV29" s="58"/>
      <c r="CW29" s="58"/>
      <c r="CX29" s="58"/>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58"/>
      <c r="GR29" s="58"/>
      <c r="GS29" s="58"/>
      <c r="GT29" s="58"/>
      <c r="GU29" s="58"/>
      <c r="GV29" s="58"/>
      <c r="GW29" s="58"/>
      <c r="GX29" s="58"/>
      <c r="GY29" s="58"/>
      <c r="GZ29" s="58"/>
      <c r="HA29" s="58"/>
      <c r="HB29" s="58"/>
      <c r="HC29" s="58"/>
      <c r="HD29" s="58"/>
      <c r="HE29" s="58"/>
      <c r="HF29" s="58"/>
      <c r="HG29" s="58"/>
      <c r="HH29" s="58"/>
      <c r="HI29" s="58"/>
      <c r="HJ29" s="58"/>
      <c r="HK29" s="58"/>
      <c r="HL29" s="58"/>
      <c r="HM29" s="58"/>
      <c r="HN29" s="58"/>
      <c r="HO29" s="58"/>
      <c r="HP29" s="58"/>
      <c r="HQ29" s="58"/>
      <c r="HR29" s="58"/>
      <c r="HS29" s="58"/>
      <c r="HT29" s="58"/>
      <c r="HU29" s="58"/>
      <c r="HV29" s="58"/>
      <c r="HW29" s="58"/>
      <c r="HX29" s="58"/>
      <c r="HY29" s="58"/>
      <c r="HZ29" s="58"/>
      <c r="IA29" s="58"/>
      <c r="IB29" s="58"/>
      <c r="IC29" s="58"/>
      <c r="ID29" s="58"/>
      <c r="IE29" s="58"/>
      <c r="IF29" s="58"/>
      <c r="IG29" s="58"/>
      <c r="IH29" s="58"/>
      <c r="II29" s="58"/>
      <c r="IJ29" s="58"/>
      <c r="IK29" s="58"/>
      <c r="IL29" s="58"/>
      <c r="IM29" s="58"/>
      <c r="IN29" s="58"/>
      <c r="IO29" s="58"/>
      <c r="IP29" s="58"/>
      <c r="IQ29" s="58"/>
      <c r="IR29" s="58"/>
      <c r="IS29" s="58"/>
      <c r="IT29" s="58"/>
      <c r="IU29" s="58"/>
    </row>
    <row r="30" spans="1:255" s="143" customFormat="1" x14ac:dyDescent="0.35">
      <c r="A30" s="144">
        <v>27</v>
      </c>
      <c r="B30" s="145">
        <v>2047</v>
      </c>
      <c r="C30" s="148">
        <f>'BNSF Carbon Calculator'!$F$24</f>
        <v>4357.4000000000005</v>
      </c>
      <c r="D30" s="148">
        <f>'BNSF Carbon Calculator'!$F$25</f>
        <v>13303.999999999998</v>
      </c>
      <c r="E30" s="149">
        <f t="shared" si="0"/>
        <v>8946.5999999999985</v>
      </c>
      <c r="F30" s="146">
        <v>81</v>
      </c>
      <c r="G30" s="147">
        <f t="shared" si="1"/>
        <v>724674.59999999986</v>
      </c>
      <c r="H30" s="147">
        <f t="shared" si="2"/>
        <v>326240.57391126914</v>
      </c>
      <c r="I30" s="58"/>
      <c r="J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c r="IS30" s="58"/>
      <c r="IT30" s="58"/>
      <c r="IU30" s="58"/>
    </row>
    <row r="31" spans="1:255" s="143" customFormat="1" x14ac:dyDescent="0.35">
      <c r="A31" s="144">
        <v>28</v>
      </c>
      <c r="B31" s="145">
        <v>2048</v>
      </c>
      <c r="C31" s="148">
        <f>'BNSF Carbon Calculator'!$F$24</f>
        <v>4357.4000000000005</v>
      </c>
      <c r="D31" s="148">
        <f>'BNSF Carbon Calculator'!$F$25</f>
        <v>13303.999999999998</v>
      </c>
      <c r="E31" s="149">
        <f t="shared" si="0"/>
        <v>8946.5999999999985</v>
      </c>
      <c r="F31" s="146">
        <v>82</v>
      </c>
      <c r="G31" s="147">
        <f t="shared" si="1"/>
        <v>733621.19999999984</v>
      </c>
      <c r="H31" s="147">
        <f t="shared" si="2"/>
        <v>320648.77215299138</v>
      </c>
      <c r="I31" s="58"/>
      <c r="J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c r="CT31" s="58"/>
      <c r="CU31" s="58"/>
      <c r="CV31" s="58"/>
      <c r="CW31" s="58"/>
      <c r="CX31" s="58"/>
      <c r="CY31" s="58"/>
      <c r="CZ31" s="58"/>
      <c r="DA31" s="58"/>
      <c r="DB31" s="58"/>
      <c r="DC31" s="58"/>
      <c r="DD31" s="58"/>
      <c r="DE31" s="58"/>
      <c r="DF31" s="58"/>
      <c r="DG31" s="58"/>
      <c r="DH31" s="58"/>
      <c r="DI31" s="58"/>
      <c r="DJ31" s="58"/>
      <c r="DK31" s="58"/>
      <c r="DL31" s="58"/>
      <c r="DM31" s="58"/>
      <c r="DN31" s="58"/>
      <c r="DO31" s="58"/>
      <c r="DP31" s="58"/>
      <c r="DQ31" s="58"/>
      <c r="DR31" s="58"/>
      <c r="DS31" s="58"/>
      <c r="DT31" s="58"/>
      <c r="DU31" s="58"/>
      <c r="DV31" s="58"/>
      <c r="DW31" s="58"/>
      <c r="DX31" s="58"/>
      <c r="DY31" s="58"/>
      <c r="DZ31" s="58"/>
      <c r="EA31" s="58"/>
      <c r="EB31" s="58"/>
      <c r="EC31" s="58"/>
      <c r="ED31" s="58"/>
      <c r="EE31" s="58"/>
      <c r="EF31" s="58"/>
      <c r="EG31" s="58"/>
      <c r="EH31" s="58"/>
      <c r="EI31" s="58"/>
      <c r="EJ31" s="58"/>
      <c r="EK31" s="58"/>
      <c r="EL31" s="58"/>
      <c r="EM31" s="58"/>
      <c r="EN31" s="58"/>
      <c r="EO31" s="58"/>
      <c r="EP31" s="58"/>
      <c r="EQ31" s="58"/>
      <c r="ER31" s="58"/>
      <c r="ES31" s="58"/>
      <c r="ET31" s="58"/>
      <c r="EU31" s="58"/>
      <c r="EV31" s="58"/>
      <c r="EW31" s="58"/>
      <c r="EX31" s="58"/>
      <c r="EY31" s="58"/>
      <c r="EZ31" s="58"/>
      <c r="FA31" s="58"/>
      <c r="FB31" s="58"/>
      <c r="FC31" s="58"/>
      <c r="FD31" s="58"/>
      <c r="FE31" s="58"/>
      <c r="FF31" s="58"/>
      <c r="FG31" s="58"/>
      <c r="FH31" s="58"/>
      <c r="FI31" s="58"/>
      <c r="FJ31" s="58"/>
      <c r="FK31" s="58"/>
      <c r="FL31" s="58"/>
      <c r="FM31" s="58"/>
      <c r="FN31" s="58"/>
      <c r="FO31" s="58"/>
      <c r="FP31" s="58"/>
      <c r="FQ31" s="58"/>
      <c r="FR31" s="58"/>
      <c r="FS31" s="58"/>
      <c r="FT31" s="58"/>
      <c r="FU31" s="58"/>
      <c r="FV31" s="58"/>
      <c r="FW31" s="58"/>
      <c r="FX31" s="58"/>
      <c r="FY31" s="58"/>
      <c r="FZ31" s="58"/>
      <c r="GA31" s="58"/>
      <c r="GB31" s="58"/>
      <c r="GC31" s="58"/>
      <c r="GD31" s="58"/>
      <c r="GE31" s="58"/>
      <c r="GF31" s="58"/>
      <c r="GG31" s="58"/>
      <c r="GH31" s="58"/>
      <c r="GI31" s="58"/>
      <c r="GJ31" s="58"/>
      <c r="GK31" s="58"/>
      <c r="GL31" s="58"/>
      <c r="GM31" s="58"/>
      <c r="GN31" s="58"/>
      <c r="GO31" s="58"/>
      <c r="GP31" s="58"/>
      <c r="GQ31" s="58"/>
      <c r="GR31" s="58"/>
      <c r="GS31" s="58"/>
      <c r="GT31" s="58"/>
      <c r="GU31" s="58"/>
      <c r="GV31" s="58"/>
      <c r="GW31" s="58"/>
      <c r="GX31" s="58"/>
      <c r="GY31" s="58"/>
      <c r="GZ31" s="58"/>
      <c r="HA31" s="58"/>
      <c r="HB31" s="58"/>
      <c r="HC31" s="58"/>
      <c r="HD31" s="58"/>
      <c r="HE31" s="58"/>
      <c r="HF31" s="58"/>
      <c r="HG31" s="58"/>
      <c r="HH31" s="58"/>
      <c r="HI31" s="58"/>
      <c r="HJ31" s="58"/>
      <c r="HK31" s="58"/>
      <c r="HL31" s="58"/>
      <c r="HM31" s="58"/>
      <c r="HN31" s="58"/>
      <c r="HO31" s="58"/>
      <c r="HP31" s="58"/>
      <c r="HQ31" s="58"/>
      <c r="HR31" s="58"/>
      <c r="HS31" s="58"/>
      <c r="HT31" s="58"/>
      <c r="HU31" s="58"/>
      <c r="HV31" s="58"/>
      <c r="HW31" s="58"/>
      <c r="HX31" s="58"/>
      <c r="HY31" s="58"/>
      <c r="HZ31" s="58"/>
      <c r="IA31" s="58"/>
      <c r="IB31" s="58"/>
      <c r="IC31" s="58"/>
      <c r="ID31" s="58"/>
      <c r="IE31" s="58"/>
      <c r="IF31" s="58"/>
      <c r="IG31" s="58"/>
      <c r="IH31" s="58"/>
      <c r="II31" s="58"/>
      <c r="IJ31" s="58"/>
      <c r="IK31" s="58"/>
      <c r="IL31" s="58"/>
      <c r="IM31" s="58"/>
      <c r="IN31" s="58"/>
      <c r="IO31" s="58"/>
      <c r="IP31" s="58"/>
      <c r="IQ31" s="58"/>
      <c r="IR31" s="58"/>
      <c r="IS31" s="58"/>
      <c r="IT31" s="58"/>
      <c r="IU31" s="58"/>
    </row>
    <row r="32" spans="1:255" s="143" customFormat="1" x14ac:dyDescent="0.35">
      <c r="A32" s="144">
        <v>29</v>
      </c>
      <c r="B32" s="145">
        <v>2049</v>
      </c>
      <c r="C32" s="148">
        <f>'BNSF Carbon Calculator'!$F$24</f>
        <v>4357.4000000000005</v>
      </c>
      <c r="D32" s="148">
        <f>'BNSF Carbon Calculator'!$F$25</f>
        <v>13303.999999999998</v>
      </c>
      <c r="E32" s="149">
        <f t="shared" si="0"/>
        <v>8946.5999999999985</v>
      </c>
      <c r="F32" s="146">
        <v>83</v>
      </c>
      <c r="G32" s="147">
        <f t="shared" si="1"/>
        <v>742567.79999999993</v>
      </c>
      <c r="H32" s="147">
        <f t="shared" si="2"/>
        <v>315105.94469214173</v>
      </c>
      <c r="I32" s="58"/>
      <c r="J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c r="FP32" s="58"/>
      <c r="FQ32" s="58"/>
      <c r="FR32" s="58"/>
      <c r="FS32" s="58"/>
      <c r="FT32" s="58"/>
      <c r="FU32" s="58"/>
      <c r="FV32" s="58"/>
      <c r="FW32" s="58"/>
      <c r="FX32" s="58"/>
      <c r="FY32" s="58"/>
      <c r="FZ32" s="58"/>
      <c r="GA32" s="58"/>
      <c r="GB32" s="58"/>
      <c r="GC32" s="58"/>
      <c r="GD32" s="58"/>
      <c r="GE32" s="58"/>
      <c r="GF32" s="58"/>
      <c r="GG32" s="58"/>
      <c r="GH32" s="58"/>
      <c r="GI32" s="58"/>
      <c r="GJ32" s="58"/>
      <c r="GK32" s="58"/>
      <c r="GL32" s="58"/>
      <c r="GM32" s="58"/>
      <c r="GN32" s="58"/>
      <c r="GO32" s="58"/>
      <c r="GP32" s="58"/>
      <c r="GQ32" s="58"/>
      <c r="GR32" s="58"/>
      <c r="GS32" s="58"/>
      <c r="GT32" s="58"/>
      <c r="GU32" s="58"/>
      <c r="GV32" s="58"/>
      <c r="GW32" s="58"/>
      <c r="GX32" s="58"/>
      <c r="GY32" s="58"/>
      <c r="GZ32" s="58"/>
      <c r="HA32" s="58"/>
      <c r="HB32" s="58"/>
      <c r="HC32" s="58"/>
      <c r="HD32" s="58"/>
      <c r="HE32" s="58"/>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c r="IS32" s="58"/>
      <c r="IT32" s="58"/>
      <c r="IU32" s="58"/>
    </row>
    <row r="33" spans="1:255" s="143" customFormat="1" x14ac:dyDescent="0.35">
      <c r="A33" s="144">
        <v>30</v>
      </c>
      <c r="B33" s="145">
        <v>2050</v>
      </c>
      <c r="C33" s="148">
        <f>'BNSF Carbon Calculator'!$F$24</f>
        <v>4357.4000000000005</v>
      </c>
      <c r="D33" s="148">
        <f>'BNSF Carbon Calculator'!$F$25</f>
        <v>13303.999999999998</v>
      </c>
      <c r="E33" s="149">
        <f t="shared" si="0"/>
        <v>8946.5999999999985</v>
      </c>
      <c r="F33" s="146">
        <v>84</v>
      </c>
      <c r="G33" s="147">
        <f t="shared" si="1"/>
        <v>751514.39999999991</v>
      </c>
      <c r="H33" s="147">
        <f t="shared" si="2"/>
        <v>309613.98238554102</v>
      </c>
      <c r="I33" s="58"/>
      <c r="J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8"/>
      <c r="FL33" s="58"/>
      <c r="FM33" s="58"/>
      <c r="FN33" s="58"/>
      <c r="FO33" s="58"/>
      <c r="FP33" s="58"/>
      <c r="FQ33" s="58"/>
      <c r="FR33" s="58"/>
      <c r="FS33" s="58"/>
      <c r="FT33" s="58"/>
      <c r="FU33" s="58"/>
      <c r="FV33" s="58"/>
      <c r="FW33" s="58"/>
      <c r="FX33" s="58"/>
      <c r="FY33" s="58"/>
      <c r="FZ33" s="58"/>
      <c r="GA33" s="58"/>
      <c r="GB33" s="58"/>
      <c r="GC33" s="58"/>
      <c r="GD33" s="58"/>
      <c r="GE33" s="58"/>
      <c r="GF33" s="58"/>
      <c r="GG33" s="58"/>
      <c r="GH33" s="58"/>
      <c r="GI33" s="58"/>
      <c r="GJ33" s="58"/>
      <c r="GK33" s="58"/>
      <c r="GL33" s="58"/>
      <c r="GM33" s="58"/>
      <c r="GN33" s="58"/>
      <c r="GO33" s="58"/>
      <c r="GP33" s="58"/>
      <c r="GQ33" s="58"/>
      <c r="GR33" s="58"/>
      <c r="GS33" s="58"/>
      <c r="GT33" s="58"/>
      <c r="GU33" s="58"/>
      <c r="GV33" s="58"/>
      <c r="GW33" s="58"/>
      <c r="GX33" s="58"/>
      <c r="GY33" s="58"/>
      <c r="GZ33" s="58"/>
      <c r="HA33" s="58"/>
      <c r="HB33" s="58"/>
      <c r="HC33" s="58"/>
      <c r="HD33" s="58"/>
      <c r="HE33" s="58"/>
      <c r="HF33" s="58"/>
      <c r="HG33" s="58"/>
      <c r="HH33" s="58"/>
      <c r="HI33" s="58"/>
      <c r="HJ33" s="58"/>
      <c r="HK33" s="58"/>
      <c r="HL33" s="58"/>
      <c r="HM33" s="58"/>
      <c r="HN33" s="58"/>
      <c r="HO33" s="58"/>
      <c r="HP33" s="58"/>
      <c r="HQ33" s="58"/>
      <c r="HR33" s="58"/>
      <c r="HS33" s="58"/>
      <c r="HT33" s="58"/>
      <c r="HU33" s="58"/>
      <c r="HV33" s="58"/>
      <c r="HW33" s="58"/>
      <c r="HX33" s="58"/>
      <c r="HY33" s="58"/>
      <c r="HZ33" s="58"/>
      <c r="IA33" s="58"/>
      <c r="IB33" s="58"/>
      <c r="IC33" s="58"/>
      <c r="ID33" s="58"/>
      <c r="IE33" s="58"/>
      <c r="IF33" s="58"/>
      <c r="IG33" s="58"/>
      <c r="IH33" s="58"/>
      <c r="II33" s="58"/>
      <c r="IJ33" s="58"/>
      <c r="IK33" s="58"/>
      <c r="IL33" s="58"/>
      <c r="IM33" s="58"/>
      <c r="IN33" s="58"/>
      <c r="IO33" s="58"/>
      <c r="IP33" s="58"/>
      <c r="IQ33" s="58"/>
      <c r="IR33" s="58"/>
      <c r="IS33" s="58"/>
      <c r="IT33" s="58"/>
      <c r="IU33" s="58"/>
    </row>
    <row r="34" spans="1:255" s="143" customFormat="1" x14ac:dyDescent="0.35">
      <c r="A34" s="144">
        <v>31</v>
      </c>
      <c r="B34" s="145">
        <v>2051</v>
      </c>
      <c r="C34" s="148">
        <f>'BNSF Carbon Calculator'!$F$24</f>
        <v>4357.4000000000005</v>
      </c>
      <c r="D34" s="148">
        <f>'BNSF Carbon Calculator'!$F$25</f>
        <v>13303.999999999998</v>
      </c>
      <c r="E34" s="149">
        <f t="shared" si="0"/>
        <v>8946.5999999999985</v>
      </c>
      <c r="F34" s="146">
        <v>85</v>
      </c>
      <c r="G34" s="147">
        <f t="shared" si="1"/>
        <v>760460.99999999988</v>
      </c>
      <c r="H34" s="147">
        <f t="shared" si="2"/>
        <v>304174.62439633592</v>
      </c>
      <c r="I34" s="58"/>
      <c r="J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8"/>
      <c r="FD34" s="58"/>
      <c r="FE34" s="58"/>
      <c r="FF34" s="58"/>
      <c r="FG34" s="58"/>
      <c r="FH34" s="58"/>
      <c r="FI34" s="58"/>
      <c r="FJ34" s="58"/>
      <c r="FK34" s="58"/>
      <c r="FL34" s="58"/>
      <c r="FM34" s="58"/>
      <c r="FN34" s="58"/>
      <c r="FO34" s="58"/>
      <c r="FP34" s="58"/>
      <c r="FQ34" s="58"/>
      <c r="FR34" s="58"/>
      <c r="FS34" s="58"/>
      <c r="FT34" s="58"/>
      <c r="FU34" s="58"/>
      <c r="FV34" s="58"/>
      <c r="FW34" s="58"/>
      <c r="FX34" s="58"/>
      <c r="FY34" s="58"/>
      <c r="FZ34" s="58"/>
      <c r="GA34" s="58"/>
      <c r="GB34" s="58"/>
      <c r="GC34" s="58"/>
      <c r="GD34" s="58"/>
      <c r="GE34" s="58"/>
      <c r="GF34" s="58"/>
      <c r="GG34" s="58"/>
      <c r="GH34" s="58"/>
      <c r="GI34" s="58"/>
      <c r="GJ34" s="58"/>
      <c r="GK34" s="58"/>
      <c r="GL34" s="58"/>
      <c r="GM34" s="58"/>
      <c r="GN34" s="58"/>
      <c r="GO34" s="58"/>
      <c r="GP34" s="58"/>
      <c r="GQ34" s="58"/>
      <c r="GR34" s="58"/>
      <c r="GS34" s="58"/>
      <c r="GT34" s="58"/>
      <c r="GU34" s="58"/>
      <c r="GV34" s="58"/>
      <c r="GW34" s="58"/>
      <c r="GX34" s="58"/>
      <c r="GY34" s="58"/>
      <c r="GZ34" s="58"/>
      <c r="HA34" s="58"/>
      <c r="HB34" s="58"/>
      <c r="HC34" s="58"/>
      <c r="HD34" s="58"/>
      <c r="HE34" s="58"/>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c r="IS34" s="58"/>
      <c r="IT34" s="58"/>
      <c r="IU34" s="58"/>
    </row>
    <row r="35" spans="1:255" s="143" customFormat="1" x14ac:dyDescent="0.35">
      <c r="A35" s="144">
        <v>32</v>
      </c>
      <c r="B35" s="145">
        <v>2052</v>
      </c>
      <c r="C35" s="148">
        <f>'BNSF Carbon Calculator'!$F$24</f>
        <v>4357.4000000000005</v>
      </c>
      <c r="D35" s="148">
        <f>'BNSF Carbon Calculator'!$F$25</f>
        <v>13303.999999999998</v>
      </c>
      <c r="E35" s="149">
        <f t="shared" si="0"/>
        <v>8946.5999999999985</v>
      </c>
      <c r="F35" s="146">
        <v>86</v>
      </c>
      <c r="G35" s="147">
        <f t="shared" si="1"/>
        <v>769407.59999999986</v>
      </c>
      <c r="H35" s="147">
        <f t="shared" si="2"/>
        <v>298789.46542644082</v>
      </c>
      <c r="I35" s="58"/>
      <c r="J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c r="CR35" s="58"/>
      <c r="CS35" s="58"/>
      <c r="CT35" s="58"/>
      <c r="CU35" s="58"/>
      <c r="CV35" s="58"/>
      <c r="CW35" s="58"/>
      <c r="CX35" s="58"/>
      <c r="CY35" s="58"/>
      <c r="CZ35" s="58"/>
      <c r="DA35" s="58"/>
      <c r="DB35" s="58"/>
      <c r="DC35" s="58"/>
      <c r="DD35" s="58"/>
      <c r="DE35" s="58"/>
      <c r="DF35" s="58"/>
      <c r="DG35" s="58"/>
      <c r="DH35" s="58"/>
      <c r="DI35" s="58"/>
      <c r="DJ35" s="58"/>
      <c r="DK35" s="58"/>
      <c r="DL35" s="58"/>
      <c r="DM35" s="58"/>
      <c r="DN35" s="58"/>
      <c r="DO35" s="58"/>
      <c r="DP35" s="58"/>
      <c r="DQ35" s="58"/>
      <c r="DR35" s="58"/>
      <c r="DS35" s="58"/>
      <c r="DT35" s="58"/>
      <c r="DU35" s="58"/>
      <c r="DV35" s="58"/>
      <c r="DW35" s="58"/>
      <c r="DX35" s="58"/>
      <c r="DY35" s="58"/>
      <c r="DZ35" s="58"/>
      <c r="EA35" s="58"/>
      <c r="EB35" s="58"/>
      <c r="EC35" s="58"/>
      <c r="ED35" s="58"/>
      <c r="EE35" s="58"/>
      <c r="EF35" s="58"/>
      <c r="EG35" s="58"/>
      <c r="EH35" s="58"/>
      <c r="EI35" s="58"/>
      <c r="EJ35" s="58"/>
      <c r="EK35" s="58"/>
      <c r="EL35" s="58"/>
      <c r="EM35" s="58"/>
      <c r="EN35" s="58"/>
      <c r="EO35" s="58"/>
      <c r="EP35" s="58"/>
      <c r="EQ35" s="58"/>
      <c r="ER35" s="58"/>
      <c r="ES35" s="58"/>
      <c r="ET35" s="58"/>
      <c r="EU35" s="58"/>
      <c r="EV35" s="58"/>
      <c r="EW35" s="58"/>
      <c r="EX35" s="58"/>
      <c r="EY35" s="58"/>
      <c r="EZ35" s="58"/>
      <c r="FA35" s="58"/>
      <c r="FB35" s="58"/>
      <c r="FC35" s="58"/>
      <c r="FD35" s="58"/>
      <c r="FE35" s="58"/>
      <c r="FF35" s="58"/>
      <c r="FG35" s="58"/>
      <c r="FH35" s="58"/>
      <c r="FI35" s="58"/>
      <c r="FJ35" s="58"/>
      <c r="FK35" s="58"/>
      <c r="FL35" s="58"/>
      <c r="FM35" s="58"/>
      <c r="FN35" s="58"/>
      <c r="FO35" s="58"/>
      <c r="FP35" s="58"/>
      <c r="FQ35" s="58"/>
      <c r="FR35" s="58"/>
      <c r="FS35" s="58"/>
      <c r="FT35" s="58"/>
      <c r="FU35" s="58"/>
      <c r="FV35" s="58"/>
      <c r="FW35" s="58"/>
      <c r="FX35" s="58"/>
      <c r="FY35" s="58"/>
      <c r="FZ35" s="58"/>
      <c r="GA35" s="58"/>
      <c r="GB35" s="58"/>
      <c r="GC35" s="58"/>
      <c r="GD35" s="58"/>
      <c r="GE35" s="58"/>
      <c r="GF35" s="58"/>
      <c r="GG35" s="58"/>
      <c r="GH35" s="58"/>
      <c r="GI35" s="58"/>
      <c r="GJ35" s="58"/>
      <c r="GK35" s="58"/>
      <c r="GL35" s="58"/>
      <c r="GM35" s="58"/>
      <c r="GN35" s="58"/>
      <c r="GO35" s="58"/>
      <c r="GP35" s="58"/>
      <c r="GQ35" s="58"/>
      <c r="GR35" s="58"/>
      <c r="GS35" s="58"/>
      <c r="GT35" s="58"/>
      <c r="GU35" s="58"/>
      <c r="GV35" s="58"/>
      <c r="GW35" s="58"/>
      <c r="GX35" s="58"/>
      <c r="GY35" s="58"/>
      <c r="GZ35" s="58"/>
      <c r="HA35" s="58"/>
      <c r="HB35" s="58"/>
      <c r="HC35" s="58"/>
      <c r="HD35" s="58"/>
      <c r="HE35" s="58"/>
      <c r="HF35" s="58"/>
      <c r="HG35" s="58"/>
      <c r="HH35" s="58"/>
      <c r="HI35" s="58"/>
      <c r="HJ35" s="58"/>
      <c r="HK35" s="58"/>
      <c r="HL35" s="58"/>
      <c r="HM35" s="58"/>
      <c r="HN35" s="58"/>
      <c r="HO35" s="58"/>
      <c r="HP35" s="58"/>
      <c r="HQ35" s="58"/>
      <c r="HR35" s="58"/>
      <c r="HS35" s="58"/>
      <c r="HT35" s="58"/>
      <c r="HU35" s="58"/>
      <c r="HV35" s="58"/>
      <c r="HW35" s="58"/>
      <c r="HX35" s="58"/>
      <c r="HY35" s="58"/>
      <c r="HZ35" s="58"/>
      <c r="IA35" s="58"/>
      <c r="IB35" s="58"/>
      <c r="IC35" s="58"/>
      <c r="ID35" s="58"/>
      <c r="IE35" s="58"/>
      <c r="IF35" s="58"/>
      <c r="IG35" s="58"/>
      <c r="IH35" s="58"/>
      <c r="II35" s="58"/>
      <c r="IJ35" s="58"/>
      <c r="IK35" s="58"/>
      <c r="IL35" s="58"/>
      <c r="IM35" s="58"/>
      <c r="IN35" s="58"/>
      <c r="IO35" s="58"/>
      <c r="IP35" s="58"/>
      <c r="IQ35" s="58"/>
      <c r="IR35" s="58"/>
      <c r="IS35" s="58"/>
      <c r="IT35" s="58"/>
      <c r="IU35" s="58"/>
    </row>
    <row r="36" spans="1:255" s="143" customFormat="1" x14ac:dyDescent="0.35">
      <c r="A36" s="144">
        <v>33</v>
      </c>
      <c r="B36" s="145">
        <v>2053</v>
      </c>
      <c r="C36" s="148">
        <f>'BNSF Carbon Calculator'!$F$24</f>
        <v>4357.4000000000005</v>
      </c>
      <c r="D36" s="148">
        <f>'BNSF Carbon Calculator'!$F$25</f>
        <v>13303.999999999998</v>
      </c>
      <c r="E36" s="149">
        <f t="shared" si="0"/>
        <v>8946.5999999999985</v>
      </c>
      <c r="F36" s="146">
        <v>87</v>
      </c>
      <c r="G36" s="147">
        <f t="shared" si="1"/>
        <v>778354.19999999984</v>
      </c>
      <c r="H36" s="147">
        <f t="shared" si="2"/>
        <v>293459.96265635977</v>
      </c>
      <c r="I36" s="58"/>
      <c r="J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c r="FS36" s="58"/>
      <c r="FT36" s="58"/>
      <c r="FU36" s="58"/>
      <c r="FV36" s="58"/>
      <c r="FW36" s="58"/>
      <c r="FX36" s="58"/>
      <c r="FY36" s="58"/>
      <c r="FZ36" s="58"/>
      <c r="GA36" s="58"/>
      <c r="GB36" s="58"/>
      <c r="GC36" s="58"/>
      <c r="GD36" s="58"/>
      <c r="GE36" s="58"/>
      <c r="GF36" s="58"/>
      <c r="GG36" s="58"/>
      <c r="GH36" s="58"/>
      <c r="GI36" s="58"/>
      <c r="GJ36" s="58"/>
      <c r="GK36" s="58"/>
      <c r="GL36" s="58"/>
      <c r="GM36" s="58"/>
      <c r="GN36" s="58"/>
      <c r="GO36" s="58"/>
      <c r="GP36" s="58"/>
      <c r="GQ36" s="58"/>
      <c r="GR36" s="58"/>
      <c r="GS36" s="58"/>
      <c r="GT36" s="58"/>
      <c r="GU36" s="58"/>
      <c r="GV36" s="58"/>
      <c r="GW36" s="58"/>
      <c r="GX36" s="58"/>
      <c r="GY36" s="58"/>
      <c r="GZ36" s="58"/>
      <c r="HA36" s="58"/>
      <c r="HB36" s="58"/>
      <c r="HC36" s="58"/>
      <c r="HD36" s="58"/>
      <c r="HE36" s="58"/>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c r="IS36" s="58"/>
      <c r="IT36" s="58"/>
      <c r="IU36" s="58"/>
    </row>
    <row r="37" spans="1:255" s="143" customFormat="1" x14ac:dyDescent="0.35">
      <c r="A37" s="144">
        <v>34</v>
      </c>
      <c r="B37" s="145">
        <v>2054</v>
      </c>
      <c r="C37" s="148">
        <f>'BNSF Carbon Calculator'!$F$24</f>
        <v>4357.4000000000005</v>
      </c>
      <c r="D37" s="148">
        <f>'BNSF Carbon Calculator'!$F$25</f>
        <v>13303.999999999998</v>
      </c>
      <c r="E37" s="149">
        <f t="shared" si="0"/>
        <v>8946.5999999999985</v>
      </c>
      <c r="F37" s="146">
        <v>88</v>
      </c>
      <c r="G37" s="147">
        <f t="shared" si="1"/>
        <v>787300.79999999981</v>
      </c>
      <c r="H37" s="147">
        <f t="shared" si="2"/>
        <v>288187.44240329944</v>
      </c>
      <c r="I37" s="58"/>
      <c r="J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8"/>
      <c r="CY37" s="58"/>
      <c r="CZ37" s="58"/>
      <c r="DA37" s="58"/>
      <c r="DB37" s="58"/>
      <c r="DC37" s="58"/>
      <c r="DD37" s="58"/>
      <c r="DE37" s="58"/>
      <c r="DF37" s="58"/>
      <c r="DG37" s="58"/>
      <c r="DH37" s="58"/>
      <c r="DI37" s="58"/>
      <c r="DJ37" s="58"/>
      <c r="DK37" s="58"/>
      <c r="DL37" s="58"/>
      <c r="DM37" s="58"/>
      <c r="DN37" s="58"/>
      <c r="DO37" s="58"/>
      <c r="DP37" s="58"/>
      <c r="DQ37" s="58"/>
      <c r="DR37" s="58"/>
      <c r="DS37" s="58"/>
      <c r="DT37" s="58"/>
      <c r="DU37" s="58"/>
      <c r="DV37" s="58"/>
      <c r="DW37" s="58"/>
      <c r="DX37" s="58"/>
      <c r="DY37" s="58"/>
      <c r="DZ37" s="58"/>
      <c r="EA37" s="58"/>
      <c r="EB37" s="58"/>
      <c r="EC37" s="58"/>
      <c r="ED37" s="58"/>
      <c r="EE37" s="58"/>
      <c r="EF37" s="58"/>
      <c r="EG37" s="58"/>
      <c r="EH37" s="58"/>
      <c r="EI37" s="58"/>
      <c r="EJ37" s="58"/>
      <c r="EK37" s="58"/>
      <c r="EL37" s="58"/>
      <c r="EM37" s="58"/>
      <c r="EN37" s="58"/>
      <c r="EO37" s="58"/>
      <c r="EP37" s="58"/>
      <c r="EQ37" s="58"/>
      <c r="ER37" s="58"/>
      <c r="ES37" s="58"/>
      <c r="ET37" s="58"/>
      <c r="EU37" s="58"/>
      <c r="EV37" s="58"/>
      <c r="EW37" s="58"/>
      <c r="EX37" s="58"/>
      <c r="EY37" s="58"/>
      <c r="EZ37" s="58"/>
      <c r="FA37" s="58"/>
      <c r="FB37" s="58"/>
      <c r="FC37" s="58"/>
      <c r="FD37" s="58"/>
      <c r="FE37" s="58"/>
      <c r="FF37" s="58"/>
      <c r="FG37" s="58"/>
      <c r="FH37" s="58"/>
      <c r="FI37" s="58"/>
      <c r="FJ37" s="58"/>
      <c r="FK37" s="58"/>
      <c r="FL37" s="58"/>
      <c r="FM37" s="58"/>
      <c r="FN37" s="58"/>
      <c r="FO37" s="58"/>
      <c r="FP37" s="58"/>
      <c r="FQ37" s="58"/>
      <c r="FR37" s="58"/>
      <c r="FS37" s="58"/>
      <c r="FT37" s="58"/>
      <c r="FU37" s="58"/>
      <c r="FV37" s="58"/>
      <c r="FW37" s="58"/>
      <c r="FX37" s="58"/>
      <c r="FY37" s="58"/>
      <c r="FZ37" s="58"/>
      <c r="GA37" s="58"/>
      <c r="GB37" s="58"/>
      <c r="GC37" s="58"/>
      <c r="GD37" s="58"/>
      <c r="GE37" s="58"/>
      <c r="GF37" s="58"/>
      <c r="GG37" s="58"/>
      <c r="GH37" s="58"/>
      <c r="GI37" s="58"/>
      <c r="GJ37" s="58"/>
      <c r="GK37" s="58"/>
      <c r="GL37" s="58"/>
      <c r="GM37" s="58"/>
      <c r="GN37" s="58"/>
      <c r="GO37" s="58"/>
      <c r="GP37" s="58"/>
      <c r="GQ37" s="58"/>
      <c r="GR37" s="58"/>
      <c r="GS37" s="58"/>
      <c r="GT37" s="58"/>
      <c r="GU37" s="58"/>
      <c r="GV37" s="58"/>
      <c r="GW37" s="58"/>
      <c r="GX37" s="58"/>
      <c r="GY37" s="58"/>
      <c r="GZ37" s="58"/>
      <c r="HA37" s="58"/>
      <c r="HB37" s="58"/>
      <c r="HC37" s="58"/>
      <c r="HD37" s="58"/>
      <c r="HE37" s="58"/>
      <c r="HF37" s="58"/>
      <c r="HG37" s="58"/>
      <c r="HH37" s="58"/>
      <c r="HI37" s="58"/>
      <c r="HJ37" s="58"/>
      <c r="HK37" s="58"/>
      <c r="HL37" s="58"/>
      <c r="HM37" s="58"/>
      <c r="HN37" s="58"/>
      <c r="HO37" s="58"/>
      <c r="HP37" s="58"/>
      <c r="HQ37" s="58"/>
      <c r="HR37" s="58"/>
      <c r="HS37" s="58"/>
      <c r="HT37" s="58"/>
      <c r="HU37" s="58"/>
      <c r="HV37" s="58"/>
      <c r="HW37" s="58"/>
      <c r="HX37" s="58"/>
      <c r="HY37" s="58"/>
      <c r="HZ37" s="58"/>
      <c r="IA37" s="58"/>
      <c r="IB37" s="58"/>
      <c r="IC37" s="58"/>
      <c r="ID37" s="58"/>
      <c r="IE37" s="58"/>
      <c r="IF37" s="58"/>
      <c r="IG37" s="58"/>
      <c r="IH37" s="58"/>
      <c r="II37" s="58"/>
      <c r="IJ37" s="58"/>
      <c r="IK37" s="58"/>
      <c r="IL37" s="58"/>
      <c r="IM37" s="58"/>
      <c r="IN37" s="58"/>
      <c r="IO37" s="58"/>
      <c r="IP37" s="58"/>
      <c r="IQ37" s="58"/>
      <c r="IR37" s="58"/>
      <c r="IS37" s="58"/>
      <c r="IT37" s="58"/>
      <c r="IU37" s="58"/>
    </row>
    <row r="38" spans="1:255" s="143" customFormat="1" ht="15.5" thickBot="1" x14ac:dyDescent="0.4">
      <c r="A38" s="218">
        <v>35</v>
      </c>
      <c r="B38" s="219">
        <v>2055</v>
      </c>
      <c r="C38" s="220">
        <f>'BNSF Carbon Calculator'!$F$24</f>
        <v>4357.4000000000005</v>
      </c>
      <c r="D38" s="220">
        <f>'BNSF Carbon Calculator'!$F$25</f>
        <v>13303.999999999998</v>
      </c>
      <c r="E38" s="221">
        <f t="shared" si="0"/>
        <v>8946.5999999999985</v>
      </c>
      <c r="F38" s="222">
        <v>89</v>
      </c>
      <c r="G38" s="222">
        <f t="shared" si="1"/>
        <v>796247.39999999991</v>
      </c>
      <c r="H38" s="223">
        <f t="shared" si="2"/>
        <v>282973.10650809412</v>
      </c>
      <c r="I38" s="58"/>
      <c r="J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c r="CQ38" s="58"/>
      <c r="CR38" s="58"/>
      <c r="CS38" s="58"/>
      <c r="CT38" s="58"/>
      <c r="CU38" s="58"/>
      <c r="CV38" s="58"/>
      <c r="CW38" s="58"/>
      <c r="CX38" s="58"/>
      <c r="CY38" s="58"/>
      <c r="CZ38" s="58"/>
      <c r="DA38" s="58"/>
      <c r="DB38" s="58"/>
      <c r="DC38" s="58"/>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8"/>
      <c r="FD38" s="58"/>
      <c r="FE38" s="58"/>
      <c r="FF38" s="58"/>
      <c r="FG38" s="58"/>
      <c r="FH38" s="58"/>
      <c r="FI38" s="58"/>
      <c r="FJ38" s="58"/>
      <c r="FK38" s="58"/>
      <c r="FL38" s="58"/>
      <c r="FM38" s="58"/>
      <c r="FN38" s="58"/>
      <c r="FO38" s="58"/>
      <c r="FP38" s="58"/>
      <c r="FQ38" s="58"/>
      <c r="FR38" s="58"/>
      <c r="FS38" s="58"/>
      <c r="FT38" s="58"/>
      <c r="FU38" s="58"/>
      <c r="FV38" s="58"/>
      <c r="FW38" s="58"/>
      <c r="FX38" s="58"/>
      <c r="FY38" s="58"/>
      <c r="FZ38" s="58"/>
      <c r="GA38" s="58"/>
      <c r="GB38" s="58"/>
      <c r="GC38" s="58"/>
      <c r="GD38" s="58"/>
      <c r="GE38" s="58"/>
      <c r="GF38" s="58"/>
      <c r="GG38" s="58"/>
      <c r="GH38" s="58"/>
      <c r="GI38" s="58"/>
      <c r="GJ38" s="58"/>
      <c r="GK38" s="58"/>
      <c r="GL38" s="58"/>
      <c r="GM38" s="58"/>
      <c r="GN38" s="58"/>
      <c r="GO38" s="58"/>
      <c r="GP38" s="58"/>
      <c r="GQ38" s="58"/>
      <c r="GR38" s="58"/>
      <c r="GS38" s="58"/>
      <c r="GT38" s="58"/>
      <c r="GU38" s="58"/>
      <c r="GV38" s="58"/>
      <c r="GW38" s="58"/>
      <c r="GX38" s="58"/>
      <c r="GY38" s="58"/>
      <c r="GZ38" s="58"/>
      <c r="HA38" s="58"/>
      <c r="HB38" s="58"/>
      <c r="HC38" s="58"/>
      <c r="HD38" s="58"/>
      <c r="HE38" s="58"/>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c r="IS38" s="58"/>
      <c r="IT38" s="58"/>
      <c r="IU38" s="58"/>
    </row>
    <row r="39" spans="1:255" s="58" customFormat="1" ht="15" customHeight="1" thickBot="1" x14ac:dyDescent="0.4">
      <c r="H39" s="110">
        <f>SUM(H3:H38)</f>
        <v>10756364.100107647</v>
      </c>
      <c r="K39" s="143"/>
      <c r="L39" s="143"/>
    </row>
  </sheetData>
  <pageMargins left="0.75" right="0.75" top="1" bottom="1" header="0.5" footer="0.5"/>
  <pageSetup scale="61" orientation="portrait" horizontalDpi="4294967292" verticalDpi="4294967292"/>
  <headerFooter>
    <oddFooter>&amp;L&amp;"Helvetica,Regular"&amp;12&amp;K000000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B078-0C53-4098-BC78-7EE3776738C1}">
  <sheetPr codeName="Sheet2">
    <tabColor theme="7"/>
    <pageSetUpPr fitToPage="1"/>
  </sheetPr>
  <dimension ref="A1:N29"/>
  <sheetViews>
    <sheetView showGridLines="0" workbookViewId="0"/>
  </sheetViews>
  <sheetFormatPr defaultColWidth="9.06640625" defaultRowHeight="14" x14ac:dyDescent="0.3"/>
  <cols>
    <col min="1" max="1" width="28.33203125" style="152" customWidth="1"/>
    <col min="2" max="2" width="12.6640625" style="152" bestFit="1" customWidth="1"/>
    <col min="3" max="3" width="11.6640625" style="152" bestFit="1" customWidth="1"/>
    <col min="4" max="4" width="11.6640625" style="152" customWidth="1"/>
    <col min="5" max="5" width="11.6640625" style="152" bestFit="1" customWidth="1"/>
    <col min="6" max="6" width="7.796875" style="152" customWidth="1"/>
    <col min="7" max="8" width="9.06640625" style="152"/>
    <col min="9" max="9" width="14.46484375" style="152" customWidth="1"/>
    <col min="10" max="16384" width="9.06640625" style="152"/>
  </cols>
  <sheetData>
    <row r="1" spans="1:6" ht="20" x14ac:dyDescent="0.4">
      <c r="A1" s="151" t="s">
        <v>73</v>
      </c>
    </row>
    <row r="2" spans="1:6" x14ac:dyDescent="0.3">
      <c r="A2" s="152" t="s">
        <v>74</v>
      </c>
    </row>
    <row r="3" spans="1:6" ht="14.5" thickBot="1" x14ac:dyDescent="0.35"/>
    <row r="4" spans="1:6" x14ac:dyDescent="0.3">
      <c r="A4" s="153"/>
      <c r="B4" s="154" t="s">
        <v>75</v>
      </c>
      <c r="C4" s="154" t="s">
        <v>76</v>
      </c>
      <c r="D4" s="154" t="s">
        <v>77</v>
      </c>
      <c r="E4" s="154" t="s">
        <v>172</v>
      </c>
    </row>
    <row r="5" spans="1:6" ht="15.5" x14ac:dyDescent="0.3">
      <c r="A5" s="274" t="s">
        <v>78</v>
      </c>
      <c r="B5" s="274"/>
      <c r="C5" s="274"/>
      <c r="D5" s="274"/>
      <c r="E5" s="274"/>
    </row>
    <row r="6" spans="1:6" x14ac:dyDescent="0.3">
      <c r="A6" s="155" t="s">
        <v>79</v>
      </c>
      <c r="B6" s="156" t="s">
        <v>111</v>
      </c>
      <c r="C6" s="156" t="s">
        <v>111</v>
      </c>
      <c r="D6" s="156" t="s">
        <v>173</v>
      </c>
      <c r="E6" s="156" t="s">
        <v>176</v>
      </c>
    </row>
    <row r="7" spans="1:6" x14ac:dyDescent="0.3">
      <c r="A7" s="155" t="s">
        <v>80</v>
      </c>
      <c r="B7" s="156" t="s">
        <v>112</v>
      </c>
      <c r="C7" s="156" t="s">
        <v>32</v>
      </c>
      <c r="D7" s="156" t="s">
        <v>174</v>
      </c>
      <c r="E7" s="156"/>
    </row>
    <row r="8" spans="1:6" x14ac:dyDescent="0.3">
      <c r="A8" s="155" t="s">
        <v>81</v>
      </c>
      <c r="B8" s="157">
        <v>77</v>
      </c>
      <c r="C8" s="157">
        <v>85</v>
      </c>
      <c r="D8" s="157">
        <v>71.5</v>
      </c>
      <c r="E8" s="157">
        <v>80</v>
      </c>
    </row>
    <row r="9" spans="1:6" ht="15.5" x14ac:dyDescent="0.3">
      <c r="A9" s="274" t="s">
        <v>82</v>
      </c>
      <c r="B9" s="274"/>
      <c r="C9" s="274"/>
      <c r="D9" s="274"/>
      <c r="E9" s="274"/>
    </row>
    <row r="10" spans="1:6" x14ac:dyDescent="0.3">
      <c r="A10" s="155" t="s">
        <v>83</v>
      </c>
      <c r="B10" s="158">
        <v>7380</v>
      </c>
      <c r="C10" s="158">
        <v>12510</v>
      </c>
      <c r="D10" s="158">
        <v>503</v>
      </c>
      <c r="E10" s="158">
        <v>1894</v>
      </c>
      <c r="F10" s="152" t="s">
        <v>84</v>
      </c>
    </row>
    <row r="11" spans="1:6" ht="15.5" x14ac:dyDescent="0.3">
      <c r="A11" s="274" t="s">
        <v>85</v>
      </c>
      <c r="B11" s="274"/>
      <c r="C11" s="274"/>
      <c r="D11" s="274"/>
      <c r="E11" s="274"/>
    </row>
    <row r="12" spans="1:6" x14ac:dyDescent="0.3">
      <c r="A12" s="155" t="s">
        <v>86</v>
      </c>
      <c r="B12" s="156"/>
      <c r="C12" s="156" t="s">
        <v>113</v>
      </c>
      <c r="D12" s="156" t="s">
        <v>117</v>
      </c>
      <c r="E12" s="156" t="s">
        <v>177</v>
      </c>
    </row>
    <row r="13" spans="1:6" x14ac:dyDescent="0.3">
      <c r="A13" s="155" t="s">
        <v>87</v>
      </c>
      <c r="B13" s="156"/>
      <c r="C13" s="156" t="s">
        <v>28</v>
      </c>
      <c r="D13" s="156" t="s">
        <v>113</v>
      </c>
      <c r="E13" s="156" t="s">
        <v>139</v>
      </c>
    </row>
    <row r="14" spans="1:6" x14ac:dyDescent="0.3">
      <c r="A14" s="155" t="s">
        <v>88</v>
      </c>
      <c r="B14" s="157">
        <v>82</v>
      </c>
      <c r="C14" s="157">
        <v>105.4</v>
      </c>
      <c r="D14" s="157">
        <v>80</v>
      </c>
      <c r="E14" s="157">
        <v>163</v>
      </c>
      <c r="F14" s="152" t="s">
        <v>89</v>
      </c>
    </row>
    <row r="15" spans="1:6" ht="15.5" x14ac:dyDescent="0.3">
      <c r="A15" s="274" t="s">
        <v>90</v>
      </c>
      <c r="B15" s="274"/>
      <c r="C15" s="274"/>
      <c r="D15" s="274"/>
      <c r="E15" s="274"/>
    </row>
    <row r="16" spans="1:6" x14ac:dyDescent="0.3">
      <c r="A16" s="155" t="s">
        <v>91</v>
      </c>
      <c r="B16" s="158">
        <f>B10*2.5</f>
        <v>18450</v>
      </c>
      <c r="C16" s="158">
        <f>C10*3</f>
        <v>37530</v>
      </c>
      <c r="D16" s="158">
        <f>D10*3.5</f>
        <v>1760.5</v>
      </c>
      <c r="E16" s="158">
        <f>E10*3.5</f>
        <v>6629</v>
      </c>
      <c r="F16" s="213" t="s">
        <v>175</v>
      </c>
    </row>
    <row r="17" spans="1:14" ht="15.5" x14ac:dyDescent="0.3">
      <c r="A17" s="274" t="s">
        <v>92</v>
      </c>
      <c r="B17" s="274"/>
      <c r="C17" s="274"/>
      <c r="D17" s="274"/>
      <c r="E17" s="274"/>
      <c r="N17" s="212"/>
    </row>
    <row r="18" spans="1:14" x14ac:dyDescent="0.3">
      <c r="A18" s="155" t="s">
        <v>93</v>
      </c>
      <c r="B18" s="157">
        <v>6.5</v>
      </c>
      <c r="C18" s="157">
        <v>6.5</v>
      </c>
      <c r="D18" s="157">
        <v>6.5</v>
      </c>
      <c r="E18" s="157">
        <v>6.5</v>
      </c>
    </row>
    <row r="19" spans="1:14" ht="23" x14ac:dyDescent="0.3">
      <c r="A19" s="155" t="s">
        <v>94</v>
      </c>
      <c r="B19" s="159">
        <v>0.1</v>
      </c>
      <c r="C19" s="159">
        <v>0.1</v>
      </c>
      <c r="D19" s="159">
        <v>0.1</v>
      </c>
      <c r="E19" s="159">
        <v>0.1</v>
      </c>
    </row>
    <row r="20" spans="1:14" x14ac:dyDescent="0.3">
      <c r="A20" s="155" t="s">
        <v>95</v>
      </c>
      <c r="B20" s="159">
        <v>0.15</v>
      </c>
      <c r="C20" s="159">
        <v>0.15</v>
      </c>
      <c r="D20" s="159">
        <v>0.15</v>
      </c>
      <c r="E20" s="159">
        <v>0.15</v>
      </c>
    </row>
    <row r="21" spans="1:14" x14ac:dyDescent="0.3">
      <c r="A21" s="278"/>
      <c r="B21" s="278"/>
      <c r="C21" s="278"/>
      <c r="D21" s="210"/>
      <c r="E21" s="210"/>
    </row>
    <row r="22" spans="1:14" ht="14.5" thickBot="1" x14ac:dyDescent="0.35">
      <c r="A22" s="160"/>
      <c r="B22" s="161" t="s">
        <v>75</v>
      </c>
      <c r="C22" s="161" t="s">
        <v>76</v>
      </c>
      <c r="D22" s="161" t="s">
        <v>77</v>
      </c>
      <c r="E22" s="161" t="s">
        <v>172</v>
      </c>
    </row>
    <row r="23" spans="1:14" ht="16" thickTop="1" x14ac:dyDescent="0.3">
      <c r="A23" s="275" t="s">
        <v>96</v>
      </c>
      <c r="B23" s="275"/>
      <c r="C23" s="275"/>
      <c r="D23" s="211"/>
      <c r="E23" s="211"/>
    </row>
    <row r="24" spans="1:14" ht="25" x14ac:dyDescent="0.3">
      <c r="A24" s="160" t="s">
        <v>97</v>
      </c>
      <c r="B24" s="178">
        <v>1090.2</v>
      </c>
      <c r="C24" s="181">
        <v>2622.1</v>
      </c>
      <c r="D24" s="181">
        <v>67.3</v>
      </c>
      <c r="E24" s="181">
        <v>577.79999999999995</v>
      </c>
      <c r="F24" s="162">
        <f>SUM(B24:E24)</f>
        <v>4357.4000000000005</v>
      </c>
      <c r="G24" s="163" t="s">
        <v>98</v>
      </c>
      <c r="H24" s="164"/>
      <c r="I24" s="164"/>
      <c r="J24" s="164"/>
    </row>
    <row r="25" spans="1:14" ht="25" x14ac:dyDescent="0.3">
      <c r="A25" s="160" t="s">
        <v>99</v>
      </c>
      <c r="B25" s="178">
        <v>3017.2</v>
      </c>
      <c r="C25" s="178">
        <v>7850.9</v>
      </c>
      <c r="D25" s="178">
        <v>281</v>
      </c>
      <c r="E25" s="178">
        <v>2154.9</v>
      </c>
      <c r="F25" s="162">
        <f>SUM(B25:E25)</f>
        <v>13303.999999999998</v>
      </c>
      <c r="G25" s="163" t="s">
        <v>100</v>
      </c>
      <c r="H25" s="164"/>
      <c r="I25" s="164"/>
      <c r="J25" s="164"/>
    </row>
    <row r="26" spans="1:14" ht="35" thickBot="1" x14ac:dyDescent="0.35">
      <c r="A26" s="165" t="s">
        <v>101</v>
      </c>
      <c r="B26" s="166">
        <v>0.64</v>
      </c>
      <c r="C26" s="166">
        <v>0.67</v>
      </c>
      <c r="D26" s="166">
        <v>0.76</v>
      </c>
      <c r="E26" s="166">
        <v>0.73</v>
      </c>
      <c r="F26" s="162">
        <f>F25-F24</f>
        <v>8946.5999999999985</v>
      </c>
      <c r="G26" s="163" t="s">
        <v>161</v>
      </c>
      <c r="H26" s="164"/>
      <c r="I26" s="164"/>
      <c r="J26" s="164"/>
    </row>
    <row r="28" spans="1:14" x14ac:dyDescent="0.3">
      <c r="A28" s="167" t="s">
        <v>102</v>
      </c>
    </row>
    <row r="29" spans="1:14" ht="53" customHeight="1" x14ac:dyDescent="0.3">
      <c r="A29" s="276" t="s">
        <v>103</v>
      </c>
      <c r="B29" s="277"/>
      <c r="C29" s="277"/>
    </row>
  </sheetData>
  <mergeCells count="8">
    <mergeCell ref="A11:E11"/>
    <mergeCell ref="A9:E9"/>
    <mergeCell ref="A5:E5"/>
    <mergeCell ref="A23:C23"/>
    <mergeCell ref="A29:C29"/>
    <mergeCell ref="A21:C21"/>
    <mergeCell ref="A17:E17"/>
    <mergeCell ref="A15:E15"/>
  </mergeCells>
  <phoneticPr fontId="38" type="noConversion"/>
  <pageMargins left="0.75" right="0.75" top="1" bottom="1" header="0.5" footer="0.5"/>
  <pageSetup scale="91" orientation="portrait" horizontalDpi="1200" verticalDpi="1200" r:id="rId1"/>
  <drawing r:id="rId2"/>
  <legacyDrawing r:id="rId3"/>
  <controls>
    <mc:AlternateContent xmlns:mc="http://schemas.openxmlformats.org/markup-compatibility/2006">
      <mc:Choice Requires="x14">
        <control shapeId="11265" r:id="rId4" name="Control 1">
          <controlPr defaultSize="0" r:id="rId5">
            <anchor moveWithCells="1">
              <from>
                <xdr:col>0</xdr:col>
                <xdr:colOff>0</xdr:colOff>
                <xdr:row>28</xdr:row>
                <xdr:rowOff>444500</xdr:rowOff>
              </from>
              <to>
                <xdr:col>0</xdr:col>
                <xdr:colOff>914400</xdr:colOff>
                <xdr:row>29</xdr:row>
                <xdr:rowOff>0</xdr:rowOff>
              </to>
            </anchor>
          </controlPr>
        </control>
      </mc:Choice>
      <mc:Fallback>
        <control shapeId="11265" r:id="rId4" name="Control 1"/>
      </mc:Fallback>
    </mc:AlternateContent>
    <mc:AlternateContent xmlns:mc="http://schemas.openxmlformats.org/markup-compatibility/2006">
      <mc:Choice Requires="x14">
        <control shapeId="11266" r:id="rId6" name="Control 2">
          <controlPr defaultSize="0" r:id="rId7">
            <anchor moveWithCells="1">
              <from>
                <xdr:col>0</xdr:col>
                <xdr:colOff>412750</xdr:colOff>
                <xdr:row>28</xdr:row>
                <xdr:rowOff>444500</xdr:rowOff>
              </from>
              <to>
                <xdr:col>0</xdr:col>
                <xdr:colOff>1327150</xdr:colOff>
                <xdr:row>29</xdr:row>
                <xdr:rowOff>0</xdr:rowOff>
              </to>
            </anchor>
          </controlPr>
        </control>
      </mc:Choice>
      <mc:Fallback>
        <control shapeId="11266" r:id="rId6" name="Control 2"/>
      </mc:Fallback>
    </mc:AlternateContent>
  </control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78F5F-E0B2-44FD-A018-6304201237C7}">
  <sheetPr>
    <tabColor theme="2"/>
    <pageSetUpPr fitToPage="1"/>
  </sheetPr>
  <dimension ref="A1:X42"/>
  <sheetViews>
    <sheetView zoomScale="90" zoomScaleNormal="90" workbookViewId="0"/>
  </sheetViews>
  <sheetFormatPr defaultColWidth="9" defaultRowHeight="15" x14ac:dyDescent="0.3"/>
  <cols>
    <col min="1" max="1" width="16.3984375" style="21" bestFit="1" customWidth="1"/>
    <col min="2" max="3" width="10.33203125" style="33" customWidth="1"/>
    <col min="4" max="4" width="1.59765625" style="23" customWidth="1"/>
    <col min="5" max="6" width="10.33203125" style="33" customWidth="1"/>
    <col min="7" max="7" width="1.59765625" style="23" customWidth="1"/>
    <col min="8" max="10" width="10.33203125" style="21" customWidth="1"/>
    <col min="11" max="11" width="1.59765625" style="23" customWidth="1"/>
    <col min="12" max="13" width="10.19921875" style="21" customWidth="1"/>
    <col min="14" max="14" width="10.06640625" style="21" customWidth="1"/>
    <col min="15" max="15" width="11" style="21" bestFit="1" customWidth="1"/>
    <col min="16" max="17" width="10.19921875" style="21" customWidth="1"/>
    <col min="18" max="19" width="9" style="21"/>
    <col min="20" max="20" width="11" style="21" bestFit="1" customWidth="1"/>
    <col min="21" max="21" width="4.33203125" style="21" customWidth="1"/>
    <col min="22" max="22" width="10" style="21" bestFit="1" customWidth="1"/>
    <col min="23" max="16384" width="9" style="21"/>
  </cols>
  <sheetData>
    <row r="1" spans="1:24" x14ac:dyDescent="0.3">
      <c r="B1" s="279" t="s">
        <v>13</v>
      </c>
      <c r="C1" s="279"/>
      <c r="E1" s="280" t="s">
        <v>14</v>
      </c>
      <c r="F1" s="280"/>
      <c r="H1" s="281" t="s">
        <v>10</v>
      </c>
      <c r="I1" s="281"/>
      <c r="J1" s="281"/>
      <c r="L1" s="21" t="s">
        <v>182</v>
      </c>
      <c r="Q1" s="21" t="s">
        <v>27</v>
      </c>
    </row>
    <row r="2" spans="1:24" x14ac:dyDescent="0.3">
      <c r="A2" s="26" t="s">
        <v>11</v>
      </c>
      <c r="B2" s="18">
        <v>0</v>
      </c>
      <c r="C2" s="18">
        <v>0</v>
      </c>
      <c r="E2" s="18">
        <v>0</v>
      </c>
      <c r="F2" s="18">
        <v>0</v>
      </c>
      <c r="L2" s="27">
        <f>Distance!E6</f>
        <v>81.5</v>
      </c>
      <c r="M2" s="27">
        <f>Distance!E13</f>
        <v>80</v>
      </c>
      <c r="N2" s="28"/>
      <c r="O2" s="28"/>
      <c r="P2" s="28"/>
      <c r="Q2" s="28">
        <f>Distance!B6</f>
        <v>61.25</v>
      </c>
      <c r="R2" s="27">
        <v>0</v>
      </c>
      <c r="V2" s="21" t="s">
        <v>17</v>
      </c>
    </row>
    <row r="3" spans="1:24" s="31" customFormat="1" x14ac:dyDescent="0.3">
      <c r="A3" s="21"/>
      <c r="B3" s="29" t="s">
        <v>15</v>
      </c>
      <c r="C3" s="29" t="s">
        <v>16</v>
      </c>
      <c r="D3" s="30"/>
      <c r="E3" s="29" t="str">
        <f>$B$3</f>
        <v>Feedstock</v>
      </c>
      <c r="F3" s="29" t="str">
        <f>$C$3</f>
        <v>Propane</v>
      </c>
      <c r="G3" s="30"/>
      <c r="H3" s="29" t="str">
        <f>$B$3</f>
        <v>Feedstock</v>
      </c>
      <c r="I3" s="29" t="str">
        <f>$C$3</f>
        <v>Propane</v>
      </c>
      <c r="J3" s="29" t="s">
        <v>58</v>
      </c>
      <c r="K3" s="30"/>
      <c r="L3" s="29" t="str">
        <f>$B$3</f>
        <v>Feedstock</v>
      </c>
      <c r="M3" s="29" t="str">
        <f>$C$3</f>
        <v>Propane</v>
      </c>
      <c r="N3" s="29" t="s">
        <v>58</v>
      </c>
      <c r="O3" s="29" t="s">
        <v>59</v>
      </c>
      <c r="P3" s="29"/>
      <c r="Q3" s="29" t="str">
        <f>$B$3</f>
        <v>Feedstock</v>
      </c>
      <c r="R3" s="29" t="str">
        <f>$C$3</f>
        <v>Propane</v>
      </c>
      <c r="S3" s="29" t="s">
        <v>58</v>
      </c>
      <c r="T3" s="29" t="s">
        <v>59</v>
      </c>
      <c r="V3" s="35">
        <v>2200000</v>
      </c>
    </row>
    <row r="4" spans="1:24" x14ac:dyDescent="0.3">
      <c r="A4" s="21">
        <v>2026</v>
      </c>
      <c r="B4" s="19">
        <f>$V$3*$V$9/$V$6*V16</f>
        <v>1178.5714285714287</v>
      </c>
      <c r="C4" s="32">
        <f>5*2*52*V16</f>
        <v>130</v>
      </c>
      <c r="E4" s="19">
        <v>0</v>
      </c>
      <c r="F4" s="19">
        <v>0</v>
      </c>
      <c r="H4" s="33">
        <f t="shared" ref="H4:I33" si="0">B4-E4</f>
        <v>1178.5714285714287</v>
      </c>
      <c r="I4" s="33">
        <f t="shared" si="0"/>
        <v>130</v>
      </c>
      <c r="J4" s="33">
        <f>SUM(H4:I4)</f>
        <v>1308.5714285714287</v>
      </c>
      <c r="L4" s="33">
        <f t="shared" ref="L4:L33" si="1">L$2*H4</f>
        <v>96053.571428571435</v>
      </c>
      <c r="M4" s="33">
        <f t="shared" ref="M4:M33" si="2">M$2*I4</f>
        <v>10400</v>
      </c>
      <c r="N4" s="33">
        <f>SUM(L4:M4)</f>
        <v>106453.57142857143</v>
      </c>
      <c r="O4" s="33">
        <f>N4/J4</f>
        <v>81.35098253275109</v>
      </c>
      <c r="P4" s="33"/>
      <c r="Q4" s="33">
        <f>H4*$Q$2</f>
        <v>72187.5</v>
      </c>
      <c r="R4" s="21">
        <f>I4*$R$2</f>
        <v>0</v>
      </c>
      <c r="S4" s="33">
        <f>SUM(Q4:R4)</f>
        <v>72187.5</v>
      </c>
      <c r="T4" s="115">
        <f>S4/J4</f>
        <v>55.165120087336241</v>
      </c>
    </row>
    <row r="5" spans="1:24" x14ac:dyDescent="0.3">
      <c r="A5" s="21">
        <v>2027</v>
      </c>
      <c r="B5" s="19">
        <f>$V$3*($V$9+0.02)/$V$6*W16</f>
        <v>4007.1428571428569</v>
      </c>
      <c r="C5" s="32">
        <f>5*2*52*W16</f>
        <v>390</v>
      </c>
      <c r="E5" s="19">
        <v>0</v>
      </c>
      <c r="F5" s="19">
        <v>0</v>
      </c>
      <c r="H5" s="33">
        <f t="shared" si="0"/>
        <v>4007.1428571428569</v>
      </c>
      <c r="I5" s="33">
        <f t="shared" si="0"/>
        <v>390</v>
      </c>
      <c r="J5" s="33">
        <f t="shared" ref="J5:J33" si="3">SUM(H5:I5)</f>
        <v>4397.1428571428569</v>
      </c>
      <c r="L5" s="33">
        <f t="shared" si="1"/>
        <v>326582.14285714284</v>
      </c>
      <c r="M5" s="33">
        <f t="shared" si="2"/>
        <v>31200</v>
      </c>
      <c r="N5" s="33">
        <f t="shared" ref="N5:N33" si="4">SUM(L5:M5)</f>
        <v>357782.14285714284</v>
      </c>
      <c r="O5" s="33">
        <f t="shared" ref="O5:O33" si="5">N5/J5</f>
        <v>81.366959064327489</v>
      </c>
      <c r="P5" s="33"/>
      <c r="Q5" s="33">
        <f t="shared" ref="Q5:Q33" si="6">H5*$Q$2</f>
        <v>245437.49999999997</v>
      </c>
      <c r="R5" s="21">
        <f t="shared" ref="R5:R33" si="7">I5*$R$2</f>
        <v>0</v>
      </c>
      <c r="S5" s="33">
        <f t="shared" ref="S5:S33" si="8">SUM(Q5:R5)</f>
        <v>245437.49999999997</v>
      </c>
      <c r="T5" s="115">
        <f t="shared" ref="T5:T33" si="9">S5/J5</f>
        <v>55.817495126705651</v>
      </c>
      <c r="U5" s="34"/>
      <c r="V5" s="21" t="s">
        <v>18</v>
      </c>
    </row>
    <row r="6" spans="1:24" x14ac:dyDescent="0.3">
      <c r="A6" s="21">
        <v>2028</v>
      </c>
      <c r="B6" s="19">
        <f>$V$3*($V$9+0.04)/$V$6</f>
        <v>5971.4285714285716</v>
      </c>
      <c r="C6" s="32">
        <f t="shared" ref="C6:C33" si="10">5*2*52</f>
        <v>520</v>
      </c>
      <c r="E6" s="19">
        <v>0</v>
      </c>
      <c r="F6" s="19">
        <v>0</v>
      </c>
      <c r="H6" s="33">
        <f t="shared" si="0"/>
        <v>5971.4285714285716</v>
      </c>
      <c r="I6" s="33">
        <f t="shared" si="0"/>
        <v>520</v>
      </c>
      <c r="J6" s="33">
        <f t="shared" si="3"/>
        <v>6491.4285714285716</v>
      </c>
      <c r="L6" s="33">
        <f t="shared" si="1"/>
        <v>486671.42857142858</v>
      </c>
      <c r="M6" s="33">
        <f t="shared" si="2"/>
        <v>41600</v>
      </c>
      <c r="N6" s="33">
        <f t="shared" si="4"/>
        <v>528271.42857142864</v>
      </c>
      <c r="O6" s="33">
        <f t="shared" si="5"/>
        <v>81.37984154929579</v>
      </c>
      <c r="P6" s="33"/>
      <c r="Q6" s="33">
        <f t="shared" si="6"/>
        <v>365750</v>
      </c>
      <c r="R6" s="21">
        <f t="shared" si="7"/>
        <v>0</v>
      </c>
      <c r="S6" s="33">
        <f t="shared" si="8"/>
        <v>365750</v>
      </c>
      <c r="T6" s="115">
        <f t="shared" si="9"/>
        <v>56.343529929577464</v>
      </c>
      <c r="V6" s="35">
        <v>70</v>
      </c>
    </row>
    <row r="7" spans="1:24" x14ac:dyDescent="0.3">
      <c r="A7" s="21">
        <v>2029</v>
      </c>
      <c r="B7" s="19">
        <f>$V$3*($V$9+0.06)/$V$6</f>
        <v>6600</v>
      </c>
      <c r="C7" s="32">
        <f t="shared" si="10"/>
        <v>520</v>
      </c>
      <c r="E7" s="19">
        <v>0</v>
      </c>
      <c r="F7" s="19">
        <v>0</v>
      </c>
      <c r="H7" s="33">
        <f t="shared" si="0"/>
        <v>6600</v>
      </c>
      <c r="I7" s="33">
        <f t="shared" si="0"/>
        <v>520</v>
      </c>
      <c r="J7" s="33">
        <f t="shared" si="3"/>
        <v>7120</v>
      </c>
      <c r="L7" s="33">
        <f t="shared" si="1"/>
        <v>537900</v>
      </c>
      <c r="M7" s="33">
        <f t="shared" si="2"/>
        <v>41600</v>
      </c>
      <c r="N7" s="33">
        <f t="shared" si="4"/>
        <v>579500</v>
      </c>
      <c r="O7" s="33">
        <f t="shared" si="5"/>
        <v>81.390449438202253</v>
      </c>
      <c r="P7" s="33"/>
      <c r="Q7" s="33">
        <f t="shared" si="6"/>
        <v>404250</v>
      </c>
      <c r="R7" s="21">
        <f t="shared" si="7"/>
        <v>0</v>
      </c>
      <c r="S7" s="33">
        <f t="shared" si="8"/>
        <v>404250</v>
      </c>
      <c r="T7" s="115">
        <f t="shared" si="9"/>
        <v>56.776685393258425</v>
      </c>
    </row>
    <row r="8" spans="1:24" x14ac:dyDescent="0.3">
      <c r="A8" s="21">
        <v>2030</v>
      </c>
      <c r="B8" s="19">
        <f>$V$3*($V$9+0.08)/$V$6</f>
        <v>7228.5714285714275</v>
      </c>
      <c r="C8" s="32">
        <f t="shared" si="10"/>
        <v>520</v>
      </c>
      <c r="E8" s="19">
        <v>0</v>
      </c>
      <c r="F8" s="19">
        <v>0</v>
      </c>
      <c r="H8" s="33">
        <f t="shared" si="0"/>
        <v>7228.5714285714275</v>
      </c>
      <c r="I8" s="33">
        <f t="shared" si="0"/>
        <v>520</v>
      </c>
      <c r="J8" s="33">
        <f t="shared" si="3"/>
        <v>7748.5714285714275</v>
      </c>
      <c r="L8" s="33">
        <f t="shared" si="1"/>
        <v>589128.57142857136</v>
      </c>
      <c r="M8" s="33">
        <f t="shared" si="2"/>
        <v>41600</v>
      </c>
      <c r="N8" s="33">
        <f t="shared" si="4"/>
        <v>630728.57142857136</v>
      </c>
      <c r="O8" s="33">
        <f t="shared" si="5"/>
        <v>81.399336283185846</v>
      </c>
      <c r="P8" s="33"/>
      <c r="Q8" s="33">
        <f t="shared" si="6"/>
        <v>442749.99999999994</v>
      </c>
      <c r="R8" s="21">
        <f t="shared" si="7"/>
        <v>0</v>
      </c>
      <c r="S8" s="33">
        <f t="shared" si="8"/>
        <v>442749.99999999994</v>
      </c>
      <c r="T8" s="115">
        <f t="shared" si="9"/>
        <v>57.139564896755161</v>
      </c>
      <c r="V8" s="21" t="s">
        <v>19</v>
      </c>
    </row>
    <row r="9" spans="1:24" x14ac:dyDescent="0.3">
      <c r="A9" s="21">
        <v>2031</v>
      </c>
      <c r="B9" s="19">
        <f>$V$3*($V$9+0.1)/$V$6</f>
        <v>7857.1428571428569</v>
      </c>
      <c r="C9" s="32">
        <f t="shared" si="10"/>
        <v>520</v>
      </c>
      <c r="E9" s="19">
        <v>0</v>
      </c>
      <c r="F9" s="19">
        <v>0</v>
      </c>
      <c r="H9" s="33">
        <f t="shared" si="0"/>
        <v>7857.1428571428569</v>
      </c>
      <c r="I9" s="33">
        <f t="shared" si="0"/>
        <v>520</v>
      </c>
      <c r="J9" s="33">
        <f t="shared" si="3"/>
        <v>8377.1428571428569</v>
      </c>
      <c r="L9" s="33">
        <f t="shared" si="1"/>
        <v>640357.14285714284</v>
      </c>
      <c r="M9" s="33">
        <f t="shared" si="2"/>
        <v>41600</v>
      </c>
      <c r="N9" s="33">
        <f t="shared" si="4"/>
        <v>681957.14285714284</v>
      </c>
      <c r="O9" s="33">
        <f t="shared" si="5"/>
        <v>81.406889495225101</v>
      </c>
      <c r="P9" s="33"/>
      <c r="Q9" s="33">
        <f t="shared" si="6"/>
        <v>481250</v>
      </c>
      <c r="R9" s="21">
        <f t="shared" si="7"/>
        <v>0</v>
      </c>
      <c r="S9" s="33">
        <f t="shared" si="8"/>
        <v>481250</v>
      </c>
      <c r="T9" s="115">
        <f t="shared" si="9"/>
        <v>57.447987721691682</v>
      </c>
      <c r="V9" s="36">
        <v>0.15</v>
      </c>
    </row>
    <row r="10" spans="1:24" x14ac:dyDescent="0.3">
      <c r="A10" s="21">
        <v>2032</v>
      </c>
      <c r="B10" s="19">
        <f t="shared" ref="B10:B33" si="11">B9</f>
        <v>7857.1428571428569</v>
      </c>
      <c r="C10" s="32">
        <f t="shared" si="10"/>
        <v>520</v>
      </c>
      <c r="E10" s="19">
        <v>0</v>
      </c>
      <c r="F10" s="19">
        <v>0</v>
      </c>
      <c r="H10" s="33">
        <f t="shared" si="0"/>
        <v>7857.1428571428569</v>
      </c>
      <c r="I10" s="33">
        <f t="shared" si="0"/>
        <v>520</v>
      </c>
      <c r="J10" s="33">
        <f t="shared" si="3"/>
        <v>8377.1428571428569</v>
      </c>
      <c r="L10" s="33">
        <f t="shared" si="1"/>
        <v>640357.14285714284</v>
      </c>
      <c r="M10" s="33">
        <f t="shared" si="2"/>
        <v>41600</v>
      </c>
      <c r="N10" s="33">
        <f t="shared" si="4"/>
        <v>681957.14285714284</v>
      </c>
      <c r="O10" s="33">
        <f t="shared" si="5"/>
        <v>81.406889495225101</v>
      </c>
      <c r="P10" s="33"/>
      <c r="Q10" s="33">
        <f t="shared" si="6"/>
        <v>481250</v>
      </c>
      <c r="R10" s="21">
        <f t="shared" si="7"/>
        <v>0</v>
      </c>
      <c r="S10" s="33">
        <f t="shared" si="8"/>
        <v>481250</v>
      </c>
      <c r="T10" s="115">
        <f t="shared" si="9"/>
        <v>57.447987721691682</v>
      </c>
    </row>
    <row r="11" spans="1:24" x14ac:dyDescent="0.3">
      <c r="A11" s="21">
        <v>2033</v>
      </c>
      <c r="B11" s="19">
        <f t="shared" si="11"/>
        <v>7857.1428571428569</v>
      </c>
      <c r="C11" s="32">
        <f t="shared" si="10"/>
        <v>520</v>
      </c>
      <c r="E11" s="19">
        <v>0</v>
      </c>
      <c r="F11" s="19">
        <v>0</v>
      </c>
      <c r="H11" s="33">
        <f t="shared" si="0"/>
        <v>7857.1428571428569</v>
      </c>
      <c r="I11" s="33">
        <f t="shared" si="0"/>
        <v>520</v>
      </c>
      <c r="J11" s="33">
        <f t="shared" si="3"/>
        <v>8377.1428571428569</v>
      </c>
      <c r="L11" s="33">
        <f t="shared" si="1"/>
        <v>640357.14285714284</v>
      </c>
      <c r="M11" s="33">
        <f t="shared" si="2"/>
        <v>41600</v>
      </c>
      <c r="N11" s="33">
        <f t="shared" si="4"/>
        <v>681957.14285714284</v>
      </c>
      <c r="O11" s="33">
        <f t="shared" si="5"/>
        <v>81.406889495225101</v>
      </c>
      <c r="P11" s="33"/>
      <c r="Q11" s="33">
        <f t="shared" si="6"/>
        <v>481250</v>
      </c>
      <c r="R11" s="21">
        <f t="shared" si="7"/>
        <v>0</v>
      </c>
      <c r="S11" s="33">
        <f t="shared" si="8"/>
        <v>481250</v>
      </c>
      <c r="T11" s="115">
        <f t="shared" si="9"/>
        <v>57.447987721691682</v>
      </c>
      <c r="V11" s="21" t="s">
        <v>118</v>
      </c>
    </row>
    <row r="12" spans="1:24" x14ac:dyDescent="0.3">
      <c r="A12" s="21">
        <v>2034</v>
      </c>
      <c r="B12" s="19">
        <f t="shared" si="11"/>
        <v>7857.1428571428569</v>
      </c>
      <c r="C12" s="32">
        <f t="shared" si="10"/>
        <v>520</v>
      </c>
      <c r="E12" s="19">
        <v>0</v>
      </c>
      <c r="F12" s="19">
        <v>0</v>
      </c>
      <c r="H12" s="33">
        <f t="shared" si="0"/>
        <v>7857.1428571428569</v>
      </c>
      <c r="I12" s="33">
        <f t="shared" si="0"/>
        <v>520</v>
      </c>
      <c r="J12" s="33">
        <f t="shared" si="3"/>
        <v>8377.1428571428569</v>
      </c>
      <c r="L12" s="33">
        <f t="shared" si="1"/>
        <v>640357.14285714284</v>
      </c>
      <c r="M12" s="33">
        <f t="shared" si="2"/>
        <v>41600</v>
      </c>
      <c r="N12" s="33">
        <f t="shared" si="4"/>
        <v>681957.14285714284</v>
      </c>
      <c r="O12" s="33">
        <f t="shared" si="5"/>
        <v>81.406889495225101</v>
      </c>
      <c r="P12" s="33"/>
      <c r="Q12" s="33">
        <f t="shared" si="6"/>
        <v>481250</v>
      </c>
      <c r="R12" s="21">
        <f t="shared" si="7"/>
        <v>0</v>
      </c>
      <c r="S12" s="33">
        <f t="shared" si="8"/>
        <v>481250</v>
      </c>
      <c r="T12" s="115">
        <f t="shared" si="9"/>
        <v>57.447987721691682</v>
      </c>
      <c r="V12" s="179">
        <v>2.5</v>
      </c>
    </row>
    <row r="13" spans="1:24" x14ac:dyDescent="0.3">
      <c r="A13" s="21">
        <v>2035</v>
      </c>
      <c r="B13" s="19">
        <f t="shared" si="11"/>
        <v>7857.1428571428569</v>
      </c>
      <c r="C13" s="32">
        <f t="shared" si="10"/>
        <v>520</v>
      </c>
      <c r="E13" s="19">
        <v>0</v>
      </c>
      <c r="F13" s="19">
        <v>0</v>
      </c>
      <c r="H13" s="33">
        <f t="shared" si="0"/>
        <v>7857.1428571428569</v>
      </c>
      <c r="I13" s="33">
        <f t="shared" si="0"/>
        <v>520</v>
      </c>
      <c r="J13" s="33">
        <f t="shared" si="3"/>
        <v>8377.1428571428569</v>
      </c>
      <c r="L13" s="33">
        <f t="shared" si="1"/>
        <v>640357.14285714284</v>
      </c>
      <c r="M13" s="33">
        <f t="shared" si="2"/>
        <v>41600</v>
      </c>
      <c r="N13" s="33">
        <f t="shared" si="4"/>
        <v>681957.14285714284</v>
      </c>
      <c r="O13" s="33">
        <f t="shared" si="5"/>
        <v>81.406889495225101</v>
      </c>
      <c r="P13" s="33"/>
      <c r="Q13" s="33">
        <f t="shared" si="6"/>
        <v>481250</v>
      </c>
      <c r="R13" s="21">
        <f t="shared" si="7"/>
        <v>0</v>
      </c>
      <c r="S13" s="33">
        <f t="shared" si="8"/>
        <v>481250</v>
      </c>
      <c r="T13" s="115">
        <f t="shared" si="9"/>
        <v>57.447987721691682</v>
      </c>
    </row>
    <row r="14" spans="1:24" x14ac:dyDescent="0.3">
      <c r="A14" s="21">
        <v>2036</v>
      </c>
      <c r="B14" s="19">
        <f t="shared" si="11"/>
        <v>7857.1428571428569</v>
      </c>
      <c r="C14" s="32">
        <f t="shared" si="10"/>
        <v>520</v>
      </c>
      <c r="E14" s="19">
        <v>0</v>
      </c>
      <c r="F14" s="19">
        <v>0</v>
      </c>
      <c r="H14" s="33">
        <f t="shared" si="0"/>
        <v>7857.1428571428569</v>
      </c>
      <c r="I14" s="33">
        <f t="shared" si="0"/>
        <v>520</v>
      </c>
      <c r="J14" s="33">
        <f t="shared" si="3"/>
        <v>8377.1428571428569</v>
      </c>
      <c r="L14" s="33">
        <f t="shared" si="1"/>
        <v>640357.14285714284</v>
      </c>
      <c r="M14" s="33">
        <f t="shared" si="2"/>
        <v>41600</v>
      </c>
      <c r="N14" s="33">
        <f t="shared" si="4"/>
        <v>681957.14285714284</v>
      </c>
      <c r="O14" s="33">
        <f t="shared" si="5"/>
        <v>81.406889495225101</v>
      </c>
      <c r="P14" s="33"/>
      <c r="Q14" s="33">
        <f t="shared" si="6"/>
        <v>481250</v>
      </c>
      <c r="R14" s="21">
        <f t="shared" si="7"/>
        <v>0</v>
      </c>
      <c r="S14" s="33">
        <f t="shared" si="8"/>
        <v>481250</v>
      </c>
      <c r="T14" s="115">
        <f t="shared" si="9"/>
        <v>57.447987721691682</v>
      </c>
      <c r="V14" s="21" t="s">
        <v>121</v>
      </c>
    </row>
    <row r="15" spans="1:24" x14ac:dyDescent="0.3">
      <c r="A15" s="21">
        <v>2037</v>
      </c>
      <c r="B15" s="19">
        <f t="shared" si="11"/>
        <v>7857.1428571428569</v>
      </c>
      <c r="C15" s="32">
        <f t="shared" si="10"/>
        <v>520</v>
      </c>
      <c r="E15" s="19">
        <v>0</v>
      </c>
      <c r="F15" s="19">
        <v>0</v>
      </c>
      <c r="H15" s="33">
        <f t="shared" si="0"/>
        <v>7857.1428571428569</v>
      </c>
      <c r="I15" s="33">
        <f t="shared" si="0"/>
        <v>520</v>
      </c>
      <c r="J15" s="33">
        <f t="shared" si="3"/>
        <v>8377.1428571428569</v>
      </c>
      <c r="L15" s="33">
        <f t="shared" si="1"/>
        <v>640357.14285714284</v>
      </c>
      <c r="M15" s="33">
        <f t="shared" si="2"/>
        <v>41600</v>
      </c>
      <c r="N15" s="33">
        <f t="shared" si="4"/>
        <v>681957.14285714284</v>
      </c>
      <c r="O15" s="33">
        <f>N15/J15</f>
        <v>81.406889495225101</v>
      </c>
      <c r="P15" s="33"/>
      <c r="Q15" s="33">
        <f t="shared" si="6"/>
        <v>481250</v>
      </c>
      <c r="R15" s="21">
        <f t="shared" si="7"/>
        <v>0</v>
      </c>
      <c r="S15" s="33">
        <f t="shared" si="8"/>
        <v>481250</v>
      </c>
      <c r="T15" s="115">
        <f t="shared" si="9"/>
        <v>57.447987721691682</v>
      </c>
      <c r="V15" s="28">
        <v>2026</v>
      </c>
      <c r="W15" s="28">
        <v>2027</v>
      </c>
      <c r="X15" s="28">
        <v>2028</v>
      </c>
    </row>
    <row r="16" spans="1:24" x14ac:dyDescent="0.3">
      <c r="A16" s="21">
        <v>2038</v>
      </c>
      <c r="B16" s="19">
        <f t="shared" si="11"/>
        <v>7857.1428571428569</v>
      </c>
      <c r="C16" s="32">
        <f t="shared" si="10"/>
        <v>520</v>
      </c>
      <c r="E16" s="19">
        <v>0</v>
      </c>
      <c r="F16" s="19">
        <v>0</v>
      </c>
      <c r="H16" s="33">
        <f t="shared" si="0"/>
        <v>7857.1428571428569</v>
      </c>
      <c r="I16" s="33">
        <f t="shared" si="0"/>
        <v>520</v>
      </c>
      <c r="J16" s="33">
        <f t="shared" si="3"/>
        <v>8377.1428571428569</v>
      </c>
      <c r="L16" s="33">
        <f t="shared" si="1"/>
        <v>640357.14285714284</v>
      </c>
      <c r="M16" s="33">
        <f t="shared" si="2"/>
        <v>41600</v>
      </c>
      <c r="N16" s="33">
        <f t="shared" si="4"/>
        <v>681957.14285714284</v>
      </c>
      <c r="O16" s="33">
        <f t="shared" si="5"/>
        <v>81.406889495225101</v>
      </c>
      <c r="P16" s="33"/>
      <c r="Q16" s="33">
        <f t="shared" si="6"/>
        <v>481250</v>
      </c>
      <c r="R16" s="21">
        <f t="shared" si="7"/>
        <v>0</v>
      </c>
      <c r="S16" s="33">
        <f t="shared" si="8"/>
        <v>481250</v>
      </c>
      <c r="T16" s="115">
        <f t="shared" si="9"/>
        <v>57.447987721691682</v>
      </c>
      <c r="V16" s="180">
        <v>0.25</v>
      </c>
      <c r="W16" s="180">
        <v>0.75</v>
      </c>
      <c r="X16" s="180">
        <v>1</v>
      </c>
    </row>
    <row r="17" spans="1:23" x14ac:dyDescent="0.3">
      <c r="A17" s="21">
        <v>2039</v>
      </c>
      <c r="B17" s="19">
        <f t="shared" si="11"/>
        <v>7857.1428571428569</v>
      </c>
      <c r="C17" s="32">
        <f t="shared" si="10"/>
        <v>520</v>
      </c>
      <c r="E17" s="19">
        <v>0</v>
      </c>
      <c r="F17" s="19">
        <v>0</v>
      </c>
      <c r="H17" s="33">
        <f t="shared" si="0"/>
        <v>7857.1428571428569</v>
      </c>
      <c r="I17" s="33">
        <f t="shared" si="0"/>
        <v>520</v>
      </c>
      <c r="J17" s="33">
        <f t="shared" si="3"/>
        <v>8377.1428571428569</v>
      </c>
      <c r="L17" s="33">
        <f t="shared" si="1"/>
        <v>640357.14285714284</v>
      </c>
      <c r="M17" s="33">
        <f t="shared" si="2"/>
        <v>41600</v>
      </c>
      <c r="N17" s="33">
        <f t="shared" si="4"/>
        <v>681957.14285714284</v>
      </c>
      <c r="O17" s="33">
        <f t="shared" si="5"/>
        <v>81.406889495225101</v>
      </c>
      <c r="P17" s="33"/>
      <c r="Q17" s="33">
        <f t="shared" si="6"/>
        <v>481250</v>
      </c>
      <c r="R17" s="21">
        <f t="shared" si="7"/>
        <v>0</v>
      </c>
      <c r="S17" s="33">
        <f t="shared" si="8"/>
        <v>481250</v>
      </c>
      <c r="T17" s="115">
        <f t="shared" si="9"/>
        <v>57.447987721691682</v>
      </c>
    </row>
    <row r="18" spans="1:23" x14ac:dyDescent="0.3">
      <c r="A18" s="21">
        <v>2040</v>
      </c>
      <c r="B18" s="19">
        <f t="shared" si="11"/>
        <v>7857.1428571428569</v>
      </c>
      <c r="C18" s="32">
        <f t="shared" si="10"/>
        <v>520</v>
      </c>
      <c r="E18" s="19">
        <v>0</v>
      </c>
      <c r="F18" s="19">
        <v>0</v>
      </c>
      <c r="H18" s="33">
        <f t="shared" si="0"/>
        <v>7857.1428571428569</v>
      </c>
      <c r="I18" s="33">
        <f t="shared" si="0"/>
        <v>520</v>
      </c>
      <c r="J18" s="33">
        <f t="shared" si="3"/>
        <v>8377.1428571428569</v>
      </c>
      <c r="L18" s="33">
        <f t="shared" si="1"/>
        <v>640357.14285714284</v>
      </c>
      <c r="M18" s="33">
        <f t="shared" si="2"/>
        <v>41600</v>
      </c>
      <c r="N18" s="33">
        <f t="shared" si="4"/>
        <v>681957.14285714284</v>
      </c>
      <c r="O18" s="33">
        <f t="shared" si="5"/>
        <v>81.406889495225101</v>
      </c>
      <c r="P18" s="33"/>
      <c r="Q18" s="33">
        <f t="shared" si="6"/>
        <v>481250</v>
      </c>
      <c r="R18" s="21">
        <f t="shared" si="7"/>
        <v>0</v>
      </c>
      <c r="S18" s="33">
        <f t="shared" si="8"/>
        <v>481250</v>
      </c>
      <c r="T18" s="115">
        <f t="shared" si="9"/>
        <v>57.447987721691682</v>
      </c>
    </row>
    <row r="19" spans="1:23" x14ac:dyDescent="0.3">
      <c r="A19" s="21">
        <v>2041</v>
      </c>
      <c r="B19" s="19">
        <f t="shared" si="11"/>
        <v>7857.1428571428569</v>
      </c>
      <c r="C19" s="32">
        <f t="shared" si="10"/>
        <v>520</v>
      </c>
      <c r="E19" s="19">
        <v>0</v>
      </c>
      <c r="F19" s="19">
        <v>0</v>
      </c>
      <c r="H19" s="33">
        <f t="shared" si="0"/>
        <v>7857.1428571428569</v>
      </c>
      <c r="I19" s="33">
        <f t="shared" si="0"/>
        <v>520</v>
      </c>
      <c r="J19" s="33">
        <f t="shared" si="3"/>
        <v>8377.1428571428569</v>
      </c>
      <c r="L19" s="33">
        <f t="shared" si="1"/>
        <v>640357.14285714284</v>
      </c>
      <c r="M19" s="33">
        <f t="shared" si="2"/>
        <v>41600</v>
      </c>
      <c r="N19" s="33">
        <f t="shared" si="4"/>
        <v>681957.14285714284</v>
      </c>
      <c r="O19" s="33">
        <f t="shared" si="5"/>
        <v>81.406889495225101</v>
      </c>
      <c r="P19" s="33"/>
      <c r="Q19" s="33">
        <f t="shared" si="6"/>
        <v>481250</v>
      </c>
      <c r="R19" s="21">
        <f t="shared" si="7"/>
        <v>0</v>
      </c>
      <c r="S19" s="33">
        <f t="shared" si="8"/>
        <v>481250</v>
      </c>
      <c r="T19" s="115">
        <f t="shared" si="9"/>
        <v>57.447987721691682</v>
      </c>
      <c r="W19" s="33"/>
    </row>
    <row r="20" spans="1:23" x14ac:dyDescent="0.3">
      <c r="A20" s="21">
        <v>2042</v>
      </c>
      <c r="B20" s="19">
        <f t="shared" si="11"/>
        <v>7857.1428571428569</v>
      </c>
      <c r="C20" s="32">
        <f t="shared" si="10"/>
        <v>520</v>
      </c>
      <c r="E20" s="19">
        <v>0</v>
      </c>
      <c r="F20" s="19">
        <v>0</v>
      </c>
      <c r="H20" s="33">
        <f t="shared" si="0"/>
        <v>7857.1428571428569</v>
      </c>
      <c r="I20" s="33">
        <f t="shared" si="0"/>
        <v>520</v>
      </c>
      <c r="J20" s="33">
        <f t="shared" si="3"/>
        <v>8377.1428571428569</v>
      </c>
      <c r="L20" s="33">
        <f t="shared" si="1"/>
        <v>640357.14285714284</v>
      </c>
      <c r="M20" s="33">
        <f t="shared" si="2"/>
        <v>41600</v>
      </c>
      <c r="N20" s="33">
        <f t="shared" si="4"/>
        <v>681957.14285714284</v>
      </c>
      <c r="O20" s="33">
        <f t="shared" si="5"/>
        <v>81.406889495225101</v>
      </c>
      <c r="P20" s="33"/>
      <c r="Q20" s="33">
        <f t="shared" si="6"/>
        <v>481250</v>
      </c>
      <c r="R20" s="21">
        <f t="shared" si="7"/>
        <v>0</v>
      </c>
      <c r="S20" s="33">
        <f t="shared" si="8"/>
        <v>481250</v>
      </c>
      <c r="T20" s="115">
        <f t="shared" si="9"/>
        <v>57.447987721691682</v>
      </c>
    </row>
    <row r="21" spans="1:23" x14ac:dyDescent="0.3">
      <c r="A21" s="21">
        <v>2043</v>
      </c>
      <c r="B21" s="19">
        <f t="shared" si="11"/>
        <v>7857.1428571428569</v>
      </c>
      <c r="C21" s="32">
        <f t="shared" si="10"/>
        <v>520</v>
      </c>
      <c r="E21" s="19">
        <v>0</v>
      </c>
      <c r="F21" s="19">
        <v>0</v>
      </c>
      <c r="H21" s="33">
        <f t="shared" si="0"/>
        <v>7857.1428571428569</v>
      </c>
      <c r="I21" s="33">
        <f t="shared" si="0"/>
        <v>520</v>
      </c>
      <c r="J21" s="33">
        <f t="shared" si="3"/>
        <v>8377.1428571428569</v>
      </c>
      <c r="L21" s="33">
        <f t="shared" si="1"/>
        <v>640357.14285714284</v>
      </c>
      <c r="M21" s="33">
        <f t="shared" si="2"/>
        <v>41600</v>
      </c>
      <c r="N21" s="33">
        <f t="shared" si="4"/>
        <v>681957.14285714284</v>
      </c>
      <c r="O21" s="33">
        <f t="shared" si="5"/>
        <v>81.406889495225101</v>
      </c>
      <c r="P21" s="33"/>
      <c r="Q21" s="33">
        <f t="shared" si="6"/>
        <v>481250</v>
      </c>
      <c r="R21" s="21">
        <f t="shared" si="7"/>
        <v>0</v>
      </c>
      <c r="S21" s="33">
        <f t="shared" si="8"/>
        <v>481250</v>
      </c>
      <c r="T21" s="115">
        <f t="shared" si="9"/>
        <v>57.447987721691682</v>
      </c>
    </row>
    <row r="22" spans="1:23" x14ac:dyDescent="0.3">
      <c r="A22" s="21">
        <v>2044</v>
      </c>
      <c r="B22" s="19">
        <f t="shared" si="11"/>
        <v>7857.1428571428569</v>
      </c>
      <c r="C22" s="32">
        <f t="shared" si="10"/>
        <v>520</v>
      </c>
      <c r="E22" s="19">
        <v>0</v>
      </c>
      <c r="F22" s="19">
        <v>0</v>
      </c>
      <c r="H22" s="33">
        <f t="shared" si="0"/>
        <v>7857.1428571428569</v>
      </c>
      <c r="I22" s="33">
        <f t="shared" si="0"/>
        <v>520</v>
      </c>
      <c r="J22" s="33">
        <f t="shared" si="3"/>
        <v>8377.1428571428569</v>
      </c>
      <c r="L22" s="33">
        <f t="shared" si="1"/>
        <v>640357.14285714284</v>
      </c>
      <c r="M22" s="33">
        <f t="shared" si="2"/>
        <v>41600</v>
      </c>
      <c r="N22" s="33">
        <f t="shared" si="4"/>
        <v>681957.14285714284</v>
      </c>
      <c r="O22" s="33">
        <f t="shared" si="5"/>
        <v>81.406889495225101</v>
      </c>
      <c r="P22" s="33"/>
      <c r="Q22" s="33">
        <f t="shared" si="6"/>
        <v>481250</v>
      </c>
      <c r="R22" s="21">
        <f t="shared" si="7"/>
        <v>0</v>
      </c>
      <c r="S22" s="33">
        <f t="shared" si="8"/>
        <v>481250</v>
      </c>
      <c r="T22" s="115">
        <f t="shared" si="9"/>
        <v>57.447987721691682</v>
      </c>
      <c r="W22" s="21" t="s">
        <v>138</v>
      </c>
    </row>
    <row r="23" spans="1:23" x14ac:dyDescent="0.3">
      <c r="A23" s="21">
        <v>2045</v>
      </c>
      <c r="B23" s="19">
        <f t="shared" si="11"/>
        <v>7857.1428571428569</v>
      </c>
      <c r="C23" s="32">
        <f t="shared" si="10"/>
        <v>520</v>
      </c>
      <c r="E23" s="19">
        <v>0</v>
      </c>
      <c r="F23" s="19">
        <v>0</v>
      </c>
      <c r="H23" s="33">
        <f t="shared" si="0"/>
        <v>7857.1428571428569</v>
      </c>
      <c r="I23" s="33">
        <f t="shared" si="0"/>
        <v>520</v>
      </c>
      <c r="J23" s="33">
        <f t="shared" si="3"/>
        <v>8377.1428571428569</v>
      </c>
      <c r="L23" s="33">
        <f t="shared" si="1"/>
        <v>640357.14285714284</v>
      </c>
      <c r="M23" s="33">
        <f t="shared" si="2"/>
        <v>41600</v>
      </c>
      <c r="N23" s="33">
        <f t="shared" si="4"/>
        <v>681957.14285714284</v>
      </c>
      <c r="O23" s="33">
        <f t="shared" si="5"/>
        <v>81.406889495225101</v>
      </c>
      <c r="P23" s="33"/>
      <c r="Q23" s="33">
        <f t="shared" si="6"/>
        <v>481250</v>
      </c>
      <c r="R23" s="21">
        <f t="shared" si="7"/>
        <v>0</v>
      </c>
      <c r="S23" s="33">
        <f t="shared" si="8"/>
        <v>481250</v>
      </c>
      <c r="T23" s="115">
        <f t="shared" si="9"/>
        <v>57.447987721691682</v>
      </c>
    </row>
    <row r="24" spans="1:23" x14ac:dyDescent="0.3">
      <c r="A24" s="21">
        <v>2046</v>
      </c>
      <c r="B24" s="19">
        <f t="shared" si="11"/>
        <v>7857.1428571428569</v>
      </c>
      <c r="C24" s="32">
        <f t="shared" si="10"/>
        <v>520</v>
      </c>
      <c r="E24" s="19">
        <v>0</v>
      </c>
      <c r="F24" s="19">
        <v>0</v>
      </c>
      <c r="H24" s="33">
        <f t="shared" si="0"/>
        <v>7857.1428571428569</v>
      </c>
      <c r="I24" s="33">
        <f t="shared" si="0"/>
        <v>520</v>
      </c>
      <c r="J24" s="33">
        <f t="shared" si="3"/>
        <v>8377.1428571428569</v>
      </c>
      <c r="L24" s="33">
        <f t="shared" si="1"/>
        <v>640357.14285714284</v>
      </c>
      <c r="M24" s="33">
        <f t="shared" si="2"/>
        <v>41600</v>
      </c>
      <c r="N24" s="33">
        <f t="shared" si="4"/>
        <v>681957.14285714284</v>
      </c>
      <c r="O24" s="33">
        <f t="shared" si="5"/>
        <v>81.406889495225101</v>
      </c>
      <c r="P24" s="33"/>
      <c r="Q24" s="33">
        <f t="shared" si="6"/>
        <v>481250</v>
      </c>
      <c r="R24" s="21">
        <f t="shared" si="7"/>
        <v>0</v>
      </c>
      <c r="S24" s="33">
        <f t="shared" si="8"/>
        <v>481250</v>
      </c>
      <c r="T24" s="115">
        <f t="shared" si="9"/>
        <v>57.447987721691682</v>
      </c>
    </row>
    <row r="25" spans="1:23" x14ac:dyDescent="0.3">
      <c r="A25" s="21">
        <v>2047</v>
      </c>
      <c r="B25" s="19">
        <f t="shared" si="11"/>
        <v>7857.1428571428569</v>
      </c>
      <c r="C25" s="32">
        <f t="shared" si="10"/>
        <v>520</v>
      </c>
      <c r="E25" s="19">
        <v>0</v>
      </c>
      <c r="F25" s="19">
        <v>0</v>
      </c>
      <c r="H25" s="33">
        <f t="shared" si="0"/>
        <v>7857.1428571428569</v>
      </c>
      <c r="I25" s="33">
        <f t="shared" si="0"/>
        <v>520</v>
      </c>
      <c r="J25" s="33">
        <f t="shared" si="3"/>
        <v>8377.1428571428569</v>
      </c>
      <c r="L25" s="33">
        <f t="shared" si="1"/>
        <v>640357.14285714284</v>
      </c>
      <c r="M25" s="33">
        <f t="shared" si="2"/>
        <v>41600</v>
      </c>
      <c r="N25" s="33">
        <f t="shared" si="4"/>
        <v>681957.14285714284</v>
      </c>
      <c r="O25" s="33">
        <f t="shared" si="5"/>
        <v>81.406889495225101</v>
      </c>
      <c r="P25" s="33"/>
      <c r="Q25" s="33">
        <f t="shared" si="6"/>
        <v>481250</v>
      </c>
      <c r="R25" s="21">
        <f t="shared" si="7"/>
        <v>0</v>
      </c>
      <c r="S25" s="33">
        <f t="shared" si="8"/>
        <v>481250</v>
      </c>
      <c r="T25" s="115">
        <f t="shared" si="9"/>
        <v>57.447987721691682</v>
      </c>
    </row>
    <row r="26" spans="1:23" x14ac:dyDescent="0.3">
      <c r="A26" s="21">
        <v>2048</v>
      </c>
      <c r="B26" s="19">
        <f t="shared" si="11"/>
        <v>7857.1428571428569</v>
      </c>
      <c r="C26" s="32">
        <f t="shared" si="10"/>
        <v>520</v>
      </c>
      <c r="E26" s="19">
        <v>0</v>
      </c>
      <c r="F26" s="19">
        <v>0</v>
      </c>
      <c r="H26" s="33">
        <f t="shared" si="0"/>
        <v>7857.1428571428569</v>
      </c>
      <c r="I26" s="33">
        <f t="shared" si="0"/>
        <v>520</v>
      </c>
      <c r="J26" s="33">
        <f t="shared" si="3"/>
        <v>8377.1428571428569</v>
      </c>
      <c r="L26" s="33">
        <f t="shared" si="1"/>
        <v>640357.14285714284</v>
      </c>
      <c r="M26" s="33">
        <f t="shared" si="2"/>
        <v>41600</v>
      </c>
      <c r="N26" s="33">
        <f t="shared" si="4"/>
        <v>681957.14285714284</v>
      </c>
      <c r="O26" s="33">
        <f t="shared" si="5"/>
        <v>81.406889495225101</v>
      </c>
      <c r="P26" s="33"/>
      <c r="Q26" s="33">
        <f t="shared" si="6"/>
        <v>481250</v>
      </c>
      <c r="R26" s="21">
        <f t="shared" si="7"/>
        <v>0</v>
      </c>
      <c r="S26" s="33">
        <f t="shared" si="8"/>
        <v>481250</v>
      </c>
      <c r="T26" s="115">
        <f t="shared" si="9"/>
        <v>57.447987721691682</v>
      </c>
    </row>
    <row r="27" spans="1:23" x14ac:dyDescent="0.3">
      <c r="A27" s="21">
        <v>2049</v>
      </c>
      <c r="B27" s="19">
        <f t="shared" si="11"/>
        <v>7857.1428571428569</v>
      </c>
      <c r="C27" s="32">
        <f t="shared" si="10"/>
        <v>520</v>
      </c>
      <c r="E27" s="19">
        <v>0</v>
      </c>
      <c r="F27" s="19">
        <v>0</v>
      </c>
      <c r="H27" s="33">
        <f t="shared" si="0"/>
        <v>7857.1428571428569</v>
      </c>
      <c r="I27" s="33">
        <f t="shared" si="0"/>
        <v>520</v>
      </c>
      <c r="J27" s="33">
        <f t="shared" si="3"/>
        <v>8377.1428571428569</v>
      </c>
      <c r="L27" s="33">
        <f t="shared" si="1"/>
        <v>640357.14285714284</v>
      </c>
      <c r="M27" s="33">
        <f t="shared" si="2"/>
        <v>41600</v>
      </c>
      <c r="N27" s="33">
        <f t="shared" si="4"/>
        <v>681957.14285714284</v>
      </c>
      <c r="O27" s="33">
        <f t="shared" si="5"/>
        <v>81.406889495225101</v>
      </c>
      <c r="P27" s="33"/>
      <c r="Q27" s="33">
        <f t="shared" si="6"/>
        <v>481250</v>
      </c>
      <c r="R27" s="21">
        <f t="shared" si="7"/>
        <v>0</v>
      </c>
      <c r="S27" s="33">
        <f t="shared" si="8"/>
        <v>481250</v>
      </c>
      <c r="T27" s="115">
        <f t="shared" si="9"/>
        <v>57.447987721691682</v>
      </c>
    </row>
    <row r="28" spans="1:23" x14ac:dyDescent="0.3">
      <c r="A28" s="21">
        <v>2050</v>
      </c>
      <c r="B28" s="19">
        <f t="shared" si="11"/>
        <v>7857.1428571428569</v>
      </c>
      <c r="C28" s="32">
        <f t="shared" si="10"/>
        <v>520</v>
      </c>
      <c r="E28" s="19">
        <v>0</v>
      </c>
      <c r="F28" s="19">
        <v>0</v>
      </c>
      <c r="H28" s="33">
        <f t="shared" si="0"/>
        <v>7857.1428571428569</v>
      </c>
      <c r="I28" s="33">
        <f t="shared" si="0"/>
        <v>520</v>
      </c>
      <c r="J28" s="33">
        <f t="shared" si="3"/>
        <v>8377.1428571428569</v>
      </c>
      <c r="L28" s="33">
        <f t="shared" si="1"/>
        <v>640357.14285714284</v>
      </c>
      <c r="M28" s="33">
        <f t="shared" si="2"/>
        <v>41600</v>
      </c>
      <c r="N28" s="33">
        <f t="shared" si="4"/>
        <v>681957.14285714284</v>
      </c>
      <c r="O28" s="33">
        <f t="shared" si="5"/>
        <v>81.406889495225101</v>
      </c>
      <c r="P28" s="33"/>
      <c r="Q28" s="33">
        <f t="shared" si="6"/>
        <v>481250</v>
      </c>
      <c r="R28" s="21">
        <f t="shared" si="7"/>
        <v>0</v>
      </c>
      <c r="S28" s="33">
        <f t="shared" si="8"/>
        <v>481250</v>
      </c>
      <c r="T28" s="115">
        <f t="shared" si="9"/>
        <v>57.447987721691682</v>
      </c>
    </row>
    <row r="29" spans="1:23" x14ac:dyDescent="0.3">
      <c r="A29" s="21">
        <v>2051</v>
      </c>
      <c r="B29" s="19">
        <f t="shared" si="11"/>
        <v>7857.1428571428569</v>
      </c>
      <c r="C29" s="32">
        <f t="shared" si="10"/>
        <v>520</v>
      </c>
      <c r="E29" s="19">
        <v>0</v>
      </c>
      <c r="F29" s="19">
        <v>0</v>
      </c>
      <c r="H29" s="33">
        <f t="shared" si="0"/>
        <v>7857.1428571428569</v>
      </c>
      <c r="I29" s="33">
        <f t="shared" si="0"/>
        <v>520</v>
      </c>
      <c r="J29" s="33">
        <f t="shared" si="3"/>
        <v>8377.1428571428569</v>
      </c>
      <c r="L29" s="33">
        <f t="shared" si="1"/>
        <v>640357.14285714284</v>
      </c>
      <c r="M29" s="33">
        <f t="shared" si="2"/>
        <v>41600</v>
      </c>
      <c r="N29" s="33">
        <f t="shared" si="4"/>
        <v>681957.14285714284</v>
      </c>
      <c r="O29" s="33">
        <f t="shared" si="5"/>
        <v>81.406889495225101</v>
      </c>
      <c r="P29" s="33"/>
      <c r="Q29" s="33">
        <f t="shared" si="6"/>
        <v>481250</v>
      </c>
      <c r="R29" s="21">
        <f t="shared" si="7"/>
        <v>0</v>
      </c>
      <c r="S29" s="33">
        <f t="shared" si="8"/>
        <v>481250</v>
      </c>
      <c r="T29" s="115">
        <f t="shared" si="9"/>
        <v>57.447987721691682</v>
      </c>
    </row>
    <row r="30" spans="1:23" x14ac:dyDescent="0.3">
      <c r="A30" s="21">
        <v>2052</v>
      </c>
      <c r="B30" s="19">
        <f t="shared" si="11"/>
        <v>7857.1428571428569</v>
      </c>
      <c r="C30" s="32">
        <f t="shared" si="10"/>
        <v>520</v>
      </c>
      <c r="E30" s="19">
        <v>0</v>
      </c>
      <c r="F30" s="19">
        <v>0</v>
      </c>
      <c r="H30" s="33">
        <f t="shared" si="0"/>
        <v>7857.1428571428569</v>
      </c>
      <c r="I30" s="33">
        <f t="shared" si="0"/>
        <v>520</v>
      </c>
      <c r="J30" s="33">
        <f t="shared" si="3"/>
        <v>8377.1428571428569</v>
      </c>
      <c r="L30" s="33">
        <f t="shared" si="1"/>
        <v>640357.14285714284</v>
      </c>
      <c r="M30" s="33">
        <f t="shared" si="2"/>
        <v>41600</v>
      </c>
      <c r="N30" s="33">
        <f t="shared" si="4"/>
        <v>681957.14285714284</v>
      </c>
      <c r="O30" s="33">
        <f t="shared" si="5"/>
        <v>81.406889495225101</v>
      </c>
      <c r="P30" s="33"/>
      <c r="Q30" s="33">
        <f t="shared" si="6"/>
        <v>481250</v>
      </c>
      <c r="R30" s="21">
        <f t="shared" si="7"/>
        <v>0</v>
      </c>
      <c r="S30" s="33">
        <f t="shared" si="8"/>
        <v>481250</v>
      </c>
      <c r="T30" s="115">
        <f t="shared" si="9"/>
        <v>57.447987721691682</v>
      </c>
    </row>
    <row r="31" spans="1:23" x14ac:dyDescent="0.3">
      <c r="A31" s="21">
        <v>2053</v>
      </c>
      <c r="B31" s="19">
        <f t="shared" si="11"/>
        <v>7857.1428571428569</v>
      </c>
      <c r="C31" s="32">
        <f t="shared" si="10"/>
        <v>520</v>
      </c>
      <c r="E31" s="19">
        <v>0</v>
      </c>
      <c r="F31" s="19">
        <v>0</v>
      </c>
      <c r="H31" s="33">
        <f t="shared" si="0"/>
        <v>7857.1428571428569</v>
      </c>
      <c r="I31" s="33">
        <f t="shared" si="0"/>
        <v>520</v>
      </c>
      <c r="J31" s="33">
        <f t="shared" si="3"/>
        <v>8377.1428571428569</v>
      </c>
      <c r="L31" s="33">
        <f t="shared" si="1"/>
        <v>640357.14285714284</v>
      </c>
      <c r="M31" s="33">
        <f t="shared" si="2"/>
        <v>41600</v>
      </c>
      <c r="N31" s="33">
        <f t="shared" si="4"/>
        <v>681957.14285714284</v>
      </c>
      <c r="O31" s="33">
        <f t="shared" si="5"/>
        <v>81.406889495225101</v>
      </c>
      <c r="P31" s="33"/>
      <c r="Q31" s="33">
        <f t="shared" si="6"/>
        <v>481250</v>
      </c>
      <c r="R31" s="21">
        <f t="shared" si="7"/>
        <v>0</v>
      </c>
      <c r="S31" s="33">
        <f t="shared" si="8"/>
        <v>481250</v>
      </c>
      <c r="T31" s="115">
        <f t="shared" si="9"/>
        <v>57.447987721691682</v>
      </c>
    </row>
    <row r="32" spans="1:23" x14ac:dyDescent="0.3">
      <c r="A32" s="21">
        <v>2054</v>
      </c>
      <c r="B32" s="19">
        <f t="shared" si="11"/>
        <v>7857.1428571428569</v>
      </c>
      <c r="C32" s="32">
        <f t="shared" si="10"/>
        <v>520</v>
      </c>
      <c r="E32" s="19">
        <v>0</v>
      </c>
      <c r="F32" s="19">
        <v>0</v>
      </c>
      <c r="H32" s="33">
        <f t="shared" si="0"/>
        <v>7857.1428571428569</v>
      </c>
      <c r="I32" s="33">
        <f t="shared" si="0"/>
        <v>520</v>
      </c>
      <c r="J32" s="33">
        <f t="shared" si="3"/>
        <v>8377.1428571428569</v>
      </c>
      <c r="L32" s="33">
        <f t="shared" si="1"/>
        <v>640357.14285714284</v>
      </c>
      <c r="M32" s="33">
        <f t="shared" si="2"/>
        <v>41600</v>
      </c>
      <c r="N32" s="33">
        <f t="shared" si="4"/>
        <v>681957.14285714284</v>
      </c>
      <c r="O32" s="33">
        <f t="shared" si="5"/>
        <v>81.406889495225101</v>
      </c>
      <c r="P32" s="33"/>
      <c r="Q32" s="33">
        <f t="shared" si="6"/>
        <v>481250</v>
      </c>
      <c r="R32" s="21">
        <f t="shared" si="7"/>
        <v>0</v>
      </c>
      <c r="S32" s="33">
        <f t="shared" si="8"/>
        <v>481250</v>
      </c>
      <c r="T32" s="115">
        <f t="shared" si="9"/>
        <v>57.447987721691682</v>
      </c>
    </row>
    <row r="33" spans="1:20" x14ac:dyDescent="0.3">
      <c r="A33" s="21">
        <v>2055</v>
      </c>
      <c r="B33" s="19">
        <f t="shared" si="11"/>
        <v>7857.1428571428569</v>
      </c>
      <c r="C33" s="32">
        <f t="shared" si="10"/>
        <v>520</v>
      </c>
      <c r="E33" s="19">
        <v>0</v>
      </c>
      <c r="F33" s="19">
        <v>0</v>
      </c>
      <c r="H33" s="33">
        <f t="shared" si="0"/>
        <v>7857.1428571428569</v>
      </c>
      <c r="I33" s="33">
        <f t="shared" si="0"/>
        <v>520</v>
      </c>
      <c r="J33" s="33">
        <f t="shared" si="3"/>
        <v>8377.1428571428569</v>
      </c>
      <c r="L33" s="33">
        <f t="shared" si="1"/>
        <v>640357.14285714284</v>
      </c>
      <c r="M33" s="33">
        <f t="shared" si="2"/>
        <v>41600</v>
      </c>
      <c r="N33" s="33">
        <f t="shared" si="4"/>
        <v>681957.14285714284</v>
      </c>
      <c r="O33" s="33">
        <f t="shared" si="5"/>
        <v>81.406889495225101</v>
      </c>
      <c r="P33" s="33"/>
      <c r="Q33" s="33">
        <f t="shared" si="6"/>
        <v>481250</v>
      </c>
      <c r="R33" s="21">
        <f t="shared" si="7"/>
        <v>0</v>
      </c>
      <c r="S33" s="33">
        <f t="shared" si="8"/>
        <v>481250</v>
      </c>
      <c r="T33" s="115">
        <f t="shared" si="9"/>
        <v>57.447987721691682</v>
      </c>
    </row>
    <row r="36" spans="1:20" x14ac:dyDescent="0.3">
      <c r="M36" s="33"/>
    </row>
    <row r="37" spans="1:20" x14ac:dyDescent="0.3">
      <c r="H37" s="33"/>
      <c r="I37" s="33"/>
      <c r="N37" s="33"/>
    </row>
    <row r="38" spans="1:20" x14ac:dyDescent="0.3">
      <c r="M38" s="33"/>
      <c r="N38" s="33"/>
    </row>
    <row r="42" spans="1:20" x14ac:dyDescent="0.3">
      <c r="B42" s="20"/>
    </row>
  </sheetData>
  <mergeCells count="3">
    <mergeCell ref="B1:C1"/>
    <mergeCell ref="E1:F1"/>
    <mergeCell ref="H1:J1"/>
  </mergeCells>
  <pageMargins left="0" right="0" top="0.75" bottom="0.75" header="0.3" footer="0.3"/>
  <pageSetup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DF1D3-D2D1-4F12-BD13-BE3E9999852B}">
  <sheetPr>
    <tabColor theme="2"/>
    <pageSetUpPr fitToPage="1"/>
  </sheetPr>
  <dimension ref="A1:N42"/>
  <sheetViews>
    <sheetView zoomScale="90" zoomScaleNormal="90" workbookViewId="0"/>
  </sheetViews>
  <sheetFormatPr defaultColWidth="9" defaultRowHeight="15" x14ac:dyDescent="0.3"/>
  <cols>
    <col min="1" max="1" width="16.3984375" style="21" bestFit="1" customWidth="1"/>
    <col min="2" max="2" width="16.46484375" style="48" bestFit="1" customWidth="1"/>
    <col min="3" max="3" width="1.59765625" style="23" customWidth="1"/>
    <col min="4" max="4" width="16.53125" style="33" customWidth="1"/>
    <col min="5" max="5" width="1.59765625" style="23" customWidth="1"/>
    <col min="6" max="6" width="17.53125" style="21" customWidth="1"/>
    <col min="7" max="7" width="1.59765625" style="23" customWidth="1"/>
    <col min="8" max="8" width="14.86328125" style="21" customWidth="1"/>
    <col min="9" max="9" width="10.265625" style="21" customWidth="1"/>
    <col min="10" max="10" width="14.1328125" style="21" customWidth="1"/>
    <col min="11" max="11" width="9.6640625" style="21" customWidth="1"/>
    <col min="12" max="12" width="10" style="21" bestFit="1" customWidth="1"/>
    <col min="13" max="16384" width="9" style="21"/>
  </cols>
  <sheetData>
    <row r="1" spans="1:12" x14ac:dyDescent="0.3">
      <c r="B1" s="22" t="s">
        <v>30</v>
      </c>
      <c r="D1" s="24" t="s">
        <v>31</v>
      </c>
      <c r="F1" s="25" t="s">
        <v>10</v>
      </c>
      <c r="H1" s="21" t="s">
        <v>33</v>
      </c>
      <c r="J1" s="21" t="s">
        <v>34</v>
      </c>
    </row>
    <row r="2" spans="1:12" x14ac:dyDescent="0.3">
      <c r="A2" s="26" t="s">
        <v>11</v>
      </c>
      <c r="B2" s="45">
        <v>0</v>
      </c>
      <c r="D2" s="45">
        <v>0</v>
      </c>
      <c r="H2" s="27">
        <f>Distance!E9</f>
        <v>105.4</v>
      </c>
      <c r="I2" s="27"/>
      <c r="J2" s="28">
        <f>Distance!B9</f>
        <v>85</v>
      </c>
    </row>
    <row r="3" spans="1:12" s="31" customFormat="1" x14ac:dyDescent="0.3">
      <c r="A3" s="21"/>
      <c r="B3" s="46" t="s">
        <v>32</v>
      </c>
      <c r="C3" s="50"/>
      <c r="D3" s="46" t="str">
        <f>$B$3</f>
        <v>Wood Pellets</v>
      </c>
      <c r="E3" s="50"/>
      <c r="F3" s="46" t="str">
        <f>$B$3</f>
        <v>Wood Pellets</v>
      </c>
      <c r="G3" s="50"/>
      <c r="H3" s="46" t="str">
        <f>$B$3</f>
        <v>Wood Pellets</v>
      </c>
      <c r="I3" s="46"/>
      <c r="J3" s="46" t="str">
        <f>$B$3</f>
        <v>Wood Pellets</v>
      </c>
    </row>
    <row r="4" spans="1:12" x14ac:dyDescent="0.3">
      <c r="A4" s="21">
        <v>2026</v>
      </c>
      <c r="B4" s="49">
        <f>$L$5*$L$11/$L$8*L18</f>
        <v>3235.294117647059</v>
      </c>
      <c r="D4" s="19">
        <v>0</v>
      </c>
      <c r="F4" s="33">
        <f t="shared" ref="F4:F33" si="0">B4-D4</f>
        <v>3235.294117647059</v>
      </c>
      <c r="H4" s="33">
        <f t="shared" ref="H4:H33" si="1">H$2*F4</f>
        <v>341000.00000000006</v>
      </c>
      <c r="I4" s="33"/>
      <c r="J4" s="33">
        <f>F4*$J$2</f>
        <v>275000</v>
      </c>
      <c r="L4" s="21" t="s">
        <v>29</v>
      </c>
    </row>
    <row r="5" spans="1:12" x14ac:dyDescent="0.3">
      <c r="A5" s="21">
        <v>2027</v>
      </c>
      <c r="B5" s="49">
        <f>$L$5*$L$11/$L$8*M18</f>
        <v>9705.8823529411766</v>
      </c>
      <c r="D5" s="19">
        <v>0</v>
      </c>
      <c r="F5" s="33">
        <f t="shared" si="0"/>
        <v>9705.8823529411766</v>
      </c>
      <c r="H5" s="33">
        <f t="shared" si="1"/>
        <v>1023000.0000000001</v>
      </c>
      <c r="I5" s="33"/>
      <c r="J5" s="33">
        <f t="shared" ref="J5:J33" si="2">F5*$J$2</f>
        <v>825000</v>
      </c>
      <c r="K5" s="34"/>
      <c r="L5" s="35">
        <v>1100000</v>
      </c>
    </row>
    <row r="6" spans="1:12" x14ac:dyDescent="0.3">
      <c r="A6" s="21">
        <v>2028</v>
      </c>
      <c r="B6" s="49">
        <f t="shared" ref="B6:B33" si="3">$L$5*$L$11/$L$8</f>
        <v>12941.176470588236</v>
      </c>
      <c r="D6" s="19">
        <v>0</v>
      </c>
      <c r="F6" s="33">
        <f t="shared" si="0"/>
        <v>12941.176470588236</v>
      </c>
      <c r="H6" s="33">
        <f t="shared" si="1"/>
        <v>1364000.0000000002</v>
      </c>
      <c r="I6" s="33"/>
      <c r="J6" s="33">
        <f t="shared" si="2"/>
        <v>1100000</v>
      </c>
    </row>
    <row r="7" spans="1:12" x14ac:dyDescent="0.3">
      <c r="A7" s="21">
        <v>2029</v>
      </c>
      <c r="B7" s="49">
        <f t="shared" si="3"/>
        <v>12941.176470588236</v>
      </c>
      <c r="D7" s="19">
        <v>0</v>
      </c>
      <c r="F7" s="33">
        <f t="shared" si="0"/>
        <v>12941.176470588236</v>
      </c>
      <c r="H7" s="33">
        <f t="shared" si="1"/>
        <v>1364000.0000000002</v>
      </c>
      <c r="I7" s="33"/>
      <c r="J7" s="33">
        <f t="shared" si="2"/>
        <v>1100000</v>
      </c>
      <c r="L7" s="21" t="s">
        <v>115</v>
      </c>
    </row>
    <row r="8" spans="1:12" x14ac:dyDescent="0.3">
      <c r="A8" s="21">
        <v>2030</v>
      </c>
      <c r="B8" s="49">
        <f t="shared" si="3"/>
        <v>12941.176470588236</v>
      </c>
      <c r="D8" s="19">
        <v>0</v>
      </c>
      <c r="F8" s="33">
        <f t="shared" si="0"/>
        <v>12941.176470588236</v>
      </c>
      <c r="H8" s="33">
        <f t="shared" si="1"/>
        <v>1364000.0000000002</v>
      </c>
      <c r="I8" s="33"/>
      <c r="J8" s="33">
        <f t="shared" si="2"/>
        <v>1100000</v>
      </c>
      <c r="L8" s="35">
        <v>85</v>
      </c>
    </row>
    <row r="9" spans="1:12" x14ac:dyDescent="0.3">
      <c r="A9" s="21">
        <v>2031</v>
      </c>
      <c r="B9" s="49">
        <f t="shared" si="3"/>
        <v>12941.176470588236</v>
      </c>
      <c r="D9" s="19">
        <v>0</v>
      </c>
      <c r="F9" s="33">
        <f t="shared" si="0"/>
        <v>12941.176470588236</v>
      </c>
      <c r="H9" s="33">
        <f t="shared" si="1"/>
        <v>1364000.0000000002</v>
      </c>
      <c r="I9" s="33"/>
      <c r="J9" s="33">
        <f t="shared" si="2"/>
        <v>1100000</v>
      </c>
    </row>
    <row r="10" spans="1:12" x14ac:dyDescent="0.3">
      <c r="A10" s="21">
        <v>2032</v>
      </c>
      <c r="B10" s="49">
        <f t="shared" si="3"/>
        <v>12941.176470588236</v>
      </c>
      <c r="D10" s="19">
        <v>0</v>
      </c>
      <c r="F10" s="33">
        <f t="shared" si="0"/>
        <v>12941.176470588236</v>
      </c>
      <c r="H10" s="33">
        <f t="shared" si="1"/>
        <v>1364000.0000000002</v>
      </c>
      <c r="I10" s="33"/>
      <c r="J10" s="33">
        <f t="shared" si="2"/>
        <v>1100000</v>
      </c>
      <c r="L10" s="21" t="s">
        <v>116</v>
      </c>
    </row>
    <row r="11" spans="1:12" x14ac:dyDescent="0.3">
      <c r="A11" s="21">
        <v>2033</v>
      </c>
      <c r="B11" s="49">
        <f t="shared" si="3"/>
        <v>12941.176470588236</v>
      </c>
      <c r="D11" s="19">
        <v>0</v>
      </c>
      <c r="F11" s="33">
        <f t="shared" si="0"/>
        <v>12941.176470588236</v>
      </c>
      <c r="H11" s="33">
        <f t="shared" si="1"/>
        <v>1364000.0000000002</v>
      </c>
      <c r="I11" s="33"/>
      <c r="J11" s="33">
        <f t="shared" si="2"/>
        <v>1100000</v>
      </c>
      <c r="L11" s="36">
        <v>1</v>
      </c>
    </row>
    <row r="12" spans="1:12" x14ac:dyDescent="0.3">
      <c r="A12" s="21">
        <v>2034</v>
      </c>
      <c r="B12" s="49">
        <f t="shared" si="3"/>
        <v>12941.176470588236</v>
      </c>
      <c r="D12" s="19">
        <v>0</v>
      </c>
      <c r="F12" s="33">
        <f t="shared" si="0"/>
        <v>12941.176470588236</v>
      </c>
      <c r="H12" s="33">
        <f t="shared" si="1"/>
        <v>1364000.0000000002</v>
      </c>
      <c r="I12" s="33"/>
      <c r="J12" s="33">
        <f t="shared" si="2"/>
        <v>1100000</v>
      </c>
    </row>
    <row r="13" spans="1:12" x14ac:dyDescent="0.3">
      <c r="A13" s="21">
        <v>2035</v>
      </c>
      <c r="B13" s="49">
        <f t="shared" si="3"/>
        <v>12941.176470588236</v>
      </c>
      <c r="D13" s="19">
        <v>0</v>
      </c>
      <c r="F13" s="33">
        <f t="shared" si="0"/>
        <v>12941.176470588236</v>
      </c>
      <c r="H13" s="33">
        <f t="shared" si="1"/>
        <v>1364000.0000000002</v>
      </c>
      <c r="I13" s="33"/>
      <c r="J13" s="33">
        <f t="shared" si="2"/>
        <v>1100000</v>
      </c>
      <c r="L13" s="21" t="s">
        <v>118</v>
      </c>
    </row>
    <row r="14" spans="1:12" x14ac:dyDescent="0.3">
      <c r="A14" s="21">
        <v>2036</v>
      </c>
      <c r="B14" s="49">
        <f t="shared" si="3"/>
        <v>12941.176470588236</v>
      </c>
      <c r="D14" s="19">
        <v>0</v>
      </c>
      <c r="F14" s="33">
        <f t="shared" si="0"/>
        <v>12941.176470588236</v>
      </c>
      <c r="H14" s="33">
        <f t="shared" si="1"/>
        <v>1364000.0000000002</v>
      </c>
      <c r="I14" s="33"/>
      <c r="J14" s="33">
        <f t="shared" si="2"/>
        <v>1100000</v>
      </c>
      <c r="L14" s="35">
        <v>3</v>
      </c>
    </row>
    <row r="15" spans="1:12" x14ac:dyDescent="0.3">
      <c r="A15" s="21">
        <v>2037</v>
      </c>
      <c r="B15" s="49">
        <f t="shared" si="3"/>
        <v>12941.176470588236</v>
      </c>
      <c r="D15" s="19">
        <v>0</v>
      </c>
      <c r="F15" s="33">
        <f t="shared" si="0"/>
        <v>12941.176470588236</v>
      </c>
      <c r="H15" s="33">
        <f t="shared" si="1"/>
        <v>1364000.0000000002</v>
      </c>
      <c r="I15" s="33"/>
      <c r="J15" s="33">
        <f t="shared" si="2"/>
        <v>1100000</v>
      </c>
    </row>
    <row r="16" spans="1:12" x14ac:dyDescent="0.3">
      <c r="A16" s="21">
        <v>2038</v>
      </c>
      <c r="B16" s="49">
        <f t="shared" si="3"/>
        <v>12941.176470588236</v>
      </c>
      <c r="D16" s="19">
        <v>0</v>
      </c>
      <c r="F16" s="33">
        <f t="shared" si="0"/>
        <v>12941.176470588236</v>
      </c>
      <c r="H16" s="33">
        <f t="shared" si="1"/>
        <v>1364000.0000000002</v>
      </c>
      <c r="I16" s="33"/>
      <c r="J16" s="33">
        <f t="shared" si="2"/>
        <v>1100000</v>
      </c>
      <c r="L16" s="21" t="s">
        <v>121</v>
      </c>
    </row>
    <row r="17" spans="1:14" x14ac:dyDescent="0.3">
      <c r="A17" s="21">
        <v>2039</v>
      </c>
      <c r="B17" s="49">
        <f t="shared" si="3"/>
        <v>12941.176470588236</v>
      </c>
      <c r="D17" s="19">
        <v>0</v>
      </c>
      <c r="F17" s="33">
        <f t="shared" si="0"/>
        <v>12941.176470588236</v>
      </c>
      <c r="H17" s="33">
        <f t="shared" si="1"/>
        <v>1364000.0000000002</v>
      </c>
      <c r="I17" s="33"/>
      <c r="J17" s="33">
        <f t="shared" si="2"/>
        <v>1100000</v>
      </c>
      <c r="L17" s="28">
        <v>2026</v>
      </c>
      <c r="M17" s="28">
        <v>2027</v>
      </c>
      <c r="N17" s="28">
        <v>2028</v>
      </c>
    </row>
    <row r="18" spans="1:14" x14ac:dyDescent="0.3">
      <c r="A18" s="21">
        <v>2040</v>
      </c>
      <c r="B18" s="49">
        <f t="shared" si="3"/>
        <v>12941.176470588236</v>
      </c>
      <c r="D18" s="19">
        <v>0</v>
      </c>
      <c r="F18" s="33">
        <f t="shared" si="0"/>
        <v>12941.176470588236</v>
      </c>
      <c r="H18" s="33">
        <f t="shared" si="1"/>
        <v>1364000.0000000002</v>
      </c>
      <c r="I18" s="33"/>
      <c r="J18" s="33">
        <f t="shared" si="2"/>
        <v>1100000</v>
      </c>
      <c r="L18" s="180">
        <v>0.25</v>
      </c>
      <c r="M18" s="180">
        <v>0.75</v>
      </c>
      <c r="N18" s="180">
        <v>1</v>
      </c>
    </row>
    <row r="19" spans="1:14" x14ac:dyDescent="0.3">
      <c r="A19" s="21">
        <v>2041</v>
      </c>
      <c r="B19" s="49">
        <f t="shared" si="3"/>
        <v>12941.176470588236</v>
      </c>
      <c r="D19" s="19">
        <v>0</v>
      </c>
      <c r="F19" s="33">
        <f t="shared" si="0"/>
        <v>12941.176470588236</v>
      </c>
      <c r="H19" s="33">
        <f t="shared" si="1"/>
        <v>1364000.0000000002</v>
      </c>
      <c r="I19" s="33"/>
      <c r="J19" s="33">
        <f t="shared" si="2"/>
        <v>1100000</v>
      </c>
      <c r="M19" s="33"/>
    </row>
    <row r="20" spans="1:14" x14ac:dyDescent="0.3">
      <c r="A20" s="21">
        <v>2042</v>
      </c>
      <c r="B20" s="49">
        <f t="shared" si="3"/>
        <v>12941.176470588236</v>
      </c>
      <c r="D20" s="19">
        <v>0</v>
      </c>
      <c r="F20" s="33">
        <f t="shared" si="0"/>
        <v>12941.176470588236</v>
      </c>
      <c r="H20" s="33">
        <f t="shared" si="1"/>
        <v>1364000.0000000002</v>
      </c>
      <c r="I20" s="33"/>
      <c r="J20" s="33">
        <f t="shared" si="2"/>
        <v>1100000</v>
      </c>
    </row>
    <row r="21" spans="1:14" x14ac:dyDescent="0.3">
      <c r="A21" s="21">
        <v>2043</v>
      </c>
      <c r="B21" s="49">
        <f t="shared" si="3"/>
        <v>12941.176470588236</v>
      </c>
      <c r="D21" s="19">
        <v>0</v>
      </c>
      <c r="F21" s="33">
        <f t="shared" si="0"/>
        <v>12941.176470588236</v>
      </c>
      <c r="H21" s="33">
        <f t="shared" si="1"/>
        <v>1364000.0000000002</v>
      </c>
      <c r="I21" s="33"/>
      <c r="J21" s="33">
        <f t="shared" si="2"/>
        <v>1100000</v>
      </c>
    </row>
    <row r="22" spans="1:14" x14ac:dyDescent="0.3">
      <c r="A22" s="21">
        <v>2044</v>
      </c>
      <c r="B22" s="49">
        <f t="shared" si="3"/>
        <v>12941.176470588236</v>
      </c>
      <c r="D22" s="19">
        <v>0</v>
      </c>
      <c r="F22" s="33">
        <f t="shared" si="0"/>
        <v>12941.176470588236</v>
      </c>
      <c r="H22" s="33">
        <f t="shared" si="1"/>
        <v>1364000.0000000002</v>
      </c>
      <c r="I22" s="33"/>
      <c r="J22" s="33">
        <f t="shared" si="2"/>
        <v>1100000</v>
      </c>
      <c r="L22" s="33"/>
    </row>
    <row r="23" spans="1:14" x14ac:dyDescent="0.3">
      <c r="A23" s="21">
        <v>2045</v>
      </c>
      <c r="B23" s="49">
        <f t="shared" si="3"/>
        <v>12941.176470588236</v>
      </c>
      <c r="D23" s="19">
        <v>0</v>
      </c>
      <c r="F23" s="33">
        <f t="shared" si="0"/>
        <v>12941.176470588236</v>
      </c>
      <c r="H23" s="33">
        <f t="shared" si="1"/>
        <v>1364000.0000000002</v>
      </c>
      <c r="I23" s="33"/>
      <c r="J23" s="33">
        <f t="shared" si="2"/>
        <v>1100000</v>
      </c>
    </row>
    <row r="24" spans="1:14" x14ac:dyDescent="0.3">
      <c r="A24" s="21">
        <v>2046</v>
      </c>
      <c r="B24" s="49">
        <f t="shared" si="3"/>
        <v>12941.176470588236</v>
      </c>
      <c r="D24" s="19">
        <v>0</v>
      </c>
      <c r="F24" s="33">
        <f t="shared" si="0"/>
        <v>12941.176470588236</v>
      </c>
      <c r="H24" s="33">
        <f t="shared" si="1"/>
        <v>1364000.0000000002</v>
      </c>
      <c r="I24" s="33"/>
      <c r="J24" s="33">
        <f t="shared" si="2"/>
        <v>1100000</v>
      </c>
    </row>
    <row r="25" spans="1:14" x14ac:dyDescent="0.3">
      <c r="A25" s="21">
        <v>2047</v>
      </c>
      <c r="B25" s="49">
        <f t="shared" si="3"/>
        <v>12941.176470588236</v>
      </c>
      <c r="D25" s="19">
        <v>0</v>
      </c>
      <c r="F25" s="33">
        <f t="shared" si="0"/>
        <v>12941.176470588236</v>
      </c>
      <c r="H25" s="33">
        <f t="shared" si="1"/>
        <v>1364000.0000000002</v>
      </c>
      <c r="I25" s="33"/>
      <c r="J25" s="33">
        <f t="shared" si="2"/>
        <v>1100000</v>
      </c>
    </row>
    <row r="26" spans="1:14" x14ac:dyDescent="0.3">
      <c r="A26" s="21">
        <v>2048</v>
      </c>
      <c r="B26" s="49">
        <f t="shared" si="3"/>
        <v>12941.176470588236</v>
      </c>
      <c r="D26" s="19">
        <v>0</v>
      </c>
      <c r="F26" s="33">
        <f t="shared" si="0"/>
        <v>12941.176470588236</v>
      </c>
      <c r="H26" s="33">
        <f t="shared" si="1"/>
        <v>1364000.0000000002</v>
      </c>
      <c r="I26" s="33"/>
      <c r="J26" s="33">
        <f t="shared" si="2"/>
        <v>1100000</v>
      </c>
      <c r="M26" s="33"/>
    </row>
    <row r="27" spans="1:14" x14ac:dyDescent="0.3">
      <c r="A27" s="21">
        <v>2049</v>
      </c>
      <c r="B27" s="49">
        <f t="shared" si="3"/>
        <v>12941.176470588236</v>
      </c>
      <c r="D27" s="19">
        <v>0</v>
      </c>
      <c r="F27" s="33">
        <f t="shared" si="0"/>
        <v>12941.176470588236</v>
      </c>
      <c r="H27" s="33">
        <f t="shared" si="1"/>
        <v>1364000.0000000002</v>
      </c>
      <c r="I27" s="33"/>
      <c r="J27" s="33">
        <f t="shared" si="2"/>
        <v>1100000</v>
      </c>
    </row>
    <row r="28" spans="1:14" x14ac:dyDescent="0.3">
      <c r="A28" s="21">
        <v>2050</v>
      </c>
      <c r="B28" s="49">
        <f t="shared" si="3"/>
        <v>12941.176470588236</v>
      </c>
      <c r="D28" s="19">
        <v>0</v>
      </c>
      <c r="F28" s="33">
        <f t="shared" si="0"/>
        <v>12941.176470588236</v>
      </c>
      <c r="H28" s="33">
        <f t="shared" si="1"/>
        <v>1364000.0000000002</v>
      </c>
      <c r="I28" s="33"/>
      <c r="J28" s="33">
        <f t="shared" si="2"/>
        <v>1100000</v>
      </c>
    </row>
    <row r="29" spans="1:14" x14ac:dyDescent="0.3">
      <c r="A29" s="21">
        <v>2051</v>
      </c>
      <c r="B29" s="49">
        <f t="shared" si="3"/>
        <v>12941.176470588236</v>
      </c>
      <c r="D29" s="19">
        <v>0</v>
      </c>
      <c r="F29" s="33">
        <f t="shared" si="0"/>
        <v>12941.176470588236</v>
      </c>
      <c r="H29" s="33">
        <f t="shared" si="1"/>
        <v>1364000.0000000002</v>
      </c>
      <c r="I29" s="33"/>
      <c r="J29" s="33">
        <f t="shared" si="2"/>
        <v>1100000</v>
      </c>
    </row>
    <row r="30" spans="1:14" x14ac:dyDescent="0.3">
      <c r="A30" s="21">
        <v>2052</v>
      </c>
      <c r="B30" s="49">
        <f t="shared" si="3"/>
        <v>12941.176470588236</v>
      </c>
      <c r="D30" s="19">
        <v>0</v>
      </c>
      <c r="F30" s="33">
        <f t="shared" si="0"/>
        <v>12941.176470588236</v>
      </c>
      <c r="H30" s="33">
        <f t="shared" si="1"/>
        <v>1364000.0000000002</v>
      </c>
      <c r="I30" s="33"/>
      <c r="J30" s="33">
        <f t="shared" si="2"/>
        <v>1100000</v>
      </c>
    </row>
    <row r="31" spans="1:14" x14ac:dyDescent="0.3">
      <c r="A31" s="21">
        <v>2053</v>
      </c>
      <c r="B31" s="49">
        <f t="shared" si="3"/>
        <v>12941.176470588236</v>
      </c>
      <c r="D31" s="19">
        <v>0</v>
      </c>
      <c r="F31" s="33">
        <f t="shared" si="0"/>
        <v>12941.176470588236</v>
      </c>
      <c r="H31" s="33">
        <f t="shared" si="1"/>
        <v>1364000.0000000002</v>
      </c>
      <c r="I31" s="33"/>
      <c r="J31" s="33">
        <f t="shared" si="2"/>
        <v>1100000</v>
      </c>
    </row>
    <row r="32" spans="1:14" x14ac:dyDescent="0.3">
      <c r="A32" s="21">
        <v>2054</v>
      </c>
      <c r="B32" s="49">
        <f t="shared" si="3"/>
        <v>12941.176470588236</v>
      </c>
      <c r="D32" s="19">
        <v>0</v>
      </c>
      <c r="F32" s="33">
        <f t="shared" si="0"/>
        <v>12941.176470588236</v>
      </c>
      <c r="H32" s="33">
        <f t="shared" si="1"/>
        <v>1364000.0000000002</v>
      </c>
      <c r="I32" s="33"/>
      <c r="J32" s="33">
        <f t="shared" si="2"/>
        <v>1100000</v>
      </c>
    </row>
    <row r="33" spans="1:10" x14ac:dyDescent="0.3">
      <c r="A33" s="21">
        <v>2055</v>
      </c>
      <c r="B33" s="49">
        <f t="shared" si="3"/>
        <v>12941.176470588236</v>
      </c>
      <c r="D33" s="19">
        <v>0</v>
      </c>
      <c r="F33" s="33">
        <f t="shared" si="0"/>
        <v>12941.176470588236</v>
      </c>
      <c r="H33" s="33">
        <f t="shared" si="1"/>
        <v>1364000.0000000002</v>
      </c>
      <c r="I33" s="33"/>
      <c r="J33" s="33">
        <f t="shared" si="2"/>
        <v>1100000</v>
      </c>
    </row>
    <row r="35" spans="1:10" x14ac:dyDescent="0.3">
      <c r="F35" s="33"/>
    </row>
    <row r="42" spans="1:10" x14ac:dyDescent="0.3">
      <c r="B42" s="47"/>
    </row>
  </sheetData>
  <pageMargins left="0" right="0" top="0.75" bottom="0.75" header="0.3" footer="0.3"/>
  <pageSetup scale="3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199F6-8DCC-417C-8803-73CAF6593B3B}">
  <sheetPr>
    <tabColor theme="2"/>
    <pageSetUpPr fitToPage="1"/>
  </sheetPr>
  <dimension ref="A1:N42"/>
  <sheetViews>
    <sheetView zoomScale="90" zoomScaleNormal="90" workbookViewId="0"/>
  </sheetViews>
  <sheetFormatPr defaultColWidth="9" defaultRowHeight="15" x14ac:dyDescent="0.3"/>
  <cols>
    <col min="1" max="1" width="16.3984375" style="21" bestFit="1" customWidth="1"/>
    <col min="2" max="2" width="16.46484375" style="48" bestFit="1" customWidth="1"/>
    <col min="3" max="3" width="1.59765625" style="23" customWidth="1"/>
    <col min="4" max="4" width="16.53125" style="33" customWidth="1"/>
    <col min="5" max="5" width="1.59765625" style="23" customWidth="1"/>
    <col min="6" max="6" width="17.53125" style="21" customWidth="1"/>
    <col min="7" max="7" width="1.59765625" style="23" customWidth="1"/>
    <col min="8" max="8" width="14.86328125" style="21" customWidth="1"/>
    <col min="9" max="9" width="10.265625" style="21" customWidth="1"/>
    <col min="10" max="10" width="14.1328125" style="21" customWidth="1"/>
    <col min="11" max="11" width="9.6640625" style="21" customWidth="1"/>
    <col min="12" max="12" width="10" style="21" bestFit="1" customWidth="1"/>
    <col min="13" max="16384" width="9" style="21"/>
  </cols>
  <sheetData>
    <row r="1" spans="1:14" x14ac:dyDescent="0.3">
      <c r="B1" s="22" t="s">
        <v>30</v>
      </c>
      <c r="D1" s="24" t="s">
        <v>31</v>
      </c>
      <c r="F1" s="25" t="s">
        <v>10</v>
      </c>
      <c r="H1" s="21" t="s">
        <v>144</v>
      </c>
      <c r="J1" s="21" t="s">
        <v>145</v>
      </c>
    </row>
    <row r="2" spans="1:14" x14ac:dyDescent="0.3">
      <c r="A2" s="26" t="s">
        <v>11</v>
      </c>
      <c r="B2" s="45">
        <v>0.03</v>
      </c>
      <c r="D2" s="45">
        <v>0</v>
      </c>
      <c r="H2" s="27">
        <f>AVERAGE(Distance!E20,Distance!E23)</f>
        <v>150.5</v>
      </c>
      <c r="I2" s="27"/>
      <c r="J2" s="28">
        <f>AVERAGE(Distance!B23,Distance!B20)</f>
        <v>163</v>
      </c>
    </row>
    <row r="3" spans="1:14" s="31" customFormat="1" x14ac:dyDescent="0.3">
      <c r="A3" s="21"/>
      <c r="B3" s="46"/>
      <c r="C3" s="50"/>
      <c r="D3" s="46"/>
      <c r="E3" s="50"/>
      <c r="F3" s="46"/>
      <c r="G3" s="50"/>
      <c r="H3" s="46"/>
      <c r="I3" s="46"/>
      <c r="J3" s="46"/>
    </row>
    <row r="4" spans="1:14" x14ac:dyDescent="0.3">
      <c r="A4" s="21">
        <v>2026</v>
      </c>
      <c r="B4" s="49">
        <v>250</v>
      </c>
      <c r="D4" s="19">
        <v>0</v>
      </c>
      <c r="F4" s="33">
        <f t="shared" ref="F4:F33" si="0">B4-D4</f>
        <v>250</v>
      </c>
      <c r="H4" s="33">
        <f t="shared" ref="H4:H33" si="1">H$2*F4</f>
        <v>37625</v>
      </c>
      <c r="I4" s="33"/>
      <c r="J4" s="33">
        <f>F4*$J$2</f>
        <v>40750</v>
      </c>
      <c r="L4" s="21" t="s">
        <v>118</v>
      </c>
    </row>
    <row r="5" spans="1:14" x14ac:dyDescent="0.3">
      <c r="A5" s="21">
        <v>2027</v>
      </c>
      <c r="B5" s="49">
        <f>B4*(1+$B$2)</f>
        <v>257.5</v>
      </c>
      <c r="D5" s="19">
        <v>0</v>
      </c>
      <c r="F5" s="33">
        <f t="shared" si="0"/>
        <v>257.5</v>
      </c>
      <c r="H5" s="33">
        <f t="shared" si="1"/>
        <v>38753.75</v>
      </c>
      <c r="I5" s="33"/>
      <c r="J5" s="33">
        <f t="shared" ref="J5:J33" si="2">F5*$J$2</f>
        <v>41972.5</v>
      </c>
      <c r="K5" s="34"/>
      <c r="L5" s="179">
        <v>3.5</v>
      </c>
    </row>
    <row r="6" spans="1:14" x14ac:dyDescent="0.3">
      <c r="A6" s="21">
        <v>2028</v>
      </c>
      <c r="B6" s="49">
        <f>B5*(1+$B$2)</f>
        <v>265.22500000000002</v>
      </c>
      <c r="D6" s="19">
        <v>0</v>
      </c>
      <c r="F6" s="33">
        <f t="shared" si="0"/>
        <v>265.22500000000002</v>
      </c>
      <c r="H6" s="33">
        <f t="shared" si="1"/>
        <v>39916.362500000003</v>
      </c>
      <c r="I6" s="33"/>
      <c r="J6" s="33">
        <f t="shared" si="2"/>
        <v>43231.675000000003</v>
      </c>
    </row>
    <row r="7" spans="1:14" x14ac:dyDescent="0.3">
      <c r="A7" s="21">
        <v>2029</v>
      </c>
      <c r="B7" s="49">
        <f>B6*(1+$B$2)+$B$4</f>
        <v>523.18174999999997</v>
      </c>
      <c r="D7" s="19">
        <v>0</v>
      </c>
      <c r="F7" s="33">
        <f t="shared" si="0"/>
        <v>523.18174999999997</v>
      </c>
      <c r="H7" s="33">
        <f t="shared" si="1"/>
        <v>78738.853374999992</v>
      </c>
      <c r="I7" s="33"/>
      <c r="J7" s="33">
        <f t="shared" si="2"/>
        <v>85278.625249999997</v>
      </c>
    </row>
    <row r="8" spans="1:14" x14ac:dyDescent="0.3">
      <c r="A8" s="21">
        <v>2030</v>
      </c>
      <c r="B8" s="49">
        <f>B7*(1+$B$2)</f>
        <v>538.87720249999995</v>
      </c>
      <c r="D8" s="19">
        <v>0</v>
      </c>
      <c r="F8" s="33">
        <f t="shared" si="0"/>
        <v>538.87720249999995</v>
      </c>
      <c r="H8" s="33">
        <f t="shared" si="1"/>
        <v>81101.018976249994</v>
      </c>
      <c r="I8" s="33"/>
      <c r="J8" s="33">
        <f t="shared" si="2"/>
        <v>87836.984007499996</v>
      </c>
      <c r="L8" s="28"/>
      <c r="M8" s="28"/>
      <c r="N8" s="28"/>
    </row>
    <row r="9" spans="1:14" x14ac:dyDescent="0.3">
      <c r="A9" s="21">
        <v>2031</v>
      </c>
      <c r="B9" s="49">
        <f>B8*(1+$B$2)</f>
        <v>555.04351857500001</v>
      </c>
      <c r="D9" s="19">
        <v>0</v>
      </c>
      <c r="F9" s="33">
        <f t="shared" si="0"/>
        <v>555.04351857500001</v>
      </c>
      <c r="H9" s="33">
        <f t="shared" si="1"/>
        <v>83534.049545537506</v>
      </c>
      <c r="I9" s="33"/>
      <c r="J9" s="33">
        <f t="shared" si="2"/>
        <v>90472.093527724996</v>
      </c>
      <c r="L9" s="180"/>
      <c r="M9" s="180"/>
      <c r="N9" s="180"/>
    </row>
    <row r="10" spans="1:14" x14ac:dyDescent="0.3">
      <c r="A10" s="21">
        <v>2032</v>
      </c>
      <c r="B10" s="49">
        <f>B9*(1+$B$2)+$B$4</f>
        <v>821.69482413225001</v>
      </c>
      <c r="D10" s="19">
        <v>0</v>
      </c>
      <c r="F10" s="33">
        <f t="shared" si="0"/>
        <v>821.69482413225001</v>
      </c>
      <c r="H10" s="33">
        <f t="shared" si="1"/>
        <v>123665.07103190363</v>
      </c>
      <c r="I10" s="33"/>
      <c r="J10" s="33">
        <f t="shared" si="2"/>
        <v>133936.25633355675</v>
      </c>
    </row>
    <row r="11" spans="1:14" x14ac:dyDescent="0.3">
      <c r="A11" s="21">
        <v>2033</v>
      </c>
      <c r="B11" s="49">
        <f>B10*(1+$B$2)</f>
        <v>846.34566885621757</v>
      </c>
      <c r="D11" s="19">
        <v>0</v>
      </c>
      <c r="F11" s="33">
        <f t="shared" si="0"/>
        <v>846.34566885621757</v>
      </c>
      <c r="H11" s="33">
        <f t="shared" si="1"/>
        <v>127375.02316286074</v>
      </c>
      <c r="I11" s="33"/>
      <c r="J11" s="33">
        <f t="shared" si="2"/>
        <v>137954.34402356346</v>
      </c>
      <c r="L11" s="195"/>
    </row>
    <row r="12" spans="1:14" x14ac:dyDescent="0.3">
      <c r="A12" s="21">
        <v>2034</v>
      </c>
      <c r="B12" s="49">
        <f>B11*(1+$B$2)</f>
        <v>871.73603892190408</v>
      </c>
      <c r="D12" s="19">
        <v>0</v>
      </c>
      <c r="F12" s="33">
        <f t="shared" si="0"/>
        <v>871.73603892190408</v>
      </c>
      <c r="H12" s="33">
        <f t="shared" si="1"/>
        <v>131196.27385774656</v>
      </c>
      <c r="I12" s="33"/>
      <c r="J12" s="33">
        <f t="shared" si="2"/>
        <v>142092.97434427036</v>
      </c>
      <c r="L12" s="196"/>
      <c r="M12" s="196"/>
    </row>
    <row r="13" spans="1:14" x14ac:dyDescent="0.3">
      <c r="A13" s="21">
        <v>2035</v>
      </c>
      <c r="B13" s="49">
        <f>B12*(1+$B$2)+$B$4</f>
        <v>1147.8881200895612</v>
      </c>
      <c r="D13" s="19">
        <v>0</v>
      </c>
      <c r="F13" s="33">
        <f t="shared" si="0"/>
        <v>1147.8881200895612</v>
      </c>
      <c r="H13" s="33">
        <f t="shared" si="1"/>
        <v>172757.16207347895</v>
      </c>
      <c r="I13" s="33"/>
      <c r="J13" s="33">
        <f t="shared" si="2"/>
        <v>187105.76357459847</v>
      </c>
    </row>
    <row r="14" spans="1:14" x14ac:dyDescent="0.3">
      <c r="A14" s="21">
        <v>2036</v>
      </c>
      <c r="B14" s="49">
        <f>B13*(1+$B$2)</f>
        <v>1182.3247636922481</v>
      </c>
      <c r="D14" s="19">
        <v>0</v>
      </c>
      <c r="F14" s="33">
        <f t="shared" si="0"/>
        <v>1182.3247636922481</v>
      </c>
      <c r="H14" s="33">
        <f t="shared" si="1"/>
        <v>177939.87693568334</v>
      </c>
      <c r="I14" s="33"/>
      <c r="J14" s="33">
        <f t="shared" si="2"/>
        <v>192718.93648183643</v>
      </c>
    </row>
    <row r="15" spans="1:14" x14ac:dyDescent="0.3">
      <c r="A15" s="21">
        <v>2037</v>
      </c>
      <c r="B15" s="49">
        <f>B14*(1+$B$2)</f>
        <v>1217.7945066030156</v>
      </c>
      <c r="D15" s="19">
        <v>0</v>
      </c>
      <c r="F15" s="33">
        <f t="shared" si="0"/>
        <v>1217.7945066030156</v>
      </c>
      <c r="H15" s="33">
        <f t="shared" si="1"/>
        <v>183278.07324375384</v>
      </c>
      <c r="I15" s="33"/>
      <c r="J15" s="33">
        <f t="shared" si="2"/>
        <v>198500.50457629154</v>
      </c>
    </row>
    <row r="16" spans="1:14" x14ac:dyDescent="0.3">
      <c r="A16" s="21">
        <v>2038</v>
      </c>
      <c r="B16" s="49">
        <f>B15*(1+$B$2)+$B$4</f>
        <v>1504.328341801106</v>
      </c>
      <c r="D16" s="19">
        <v>0</v>
      </c>
      <c r="F16" s="33">
        <f t="shared" si="0"/>
        <v>1504.328341801106</v>
      </c>
      <c r="H16" s="33">
        <f t="shared" si="1"/>
        <v>226401.41544106646</v>
      </c>
      <c r="I16" s="33"/>
      <c r="J16" s="33">
        <f t="shared" si="2"/>
        <v>245205.51971358029</v>
      </c>
    </row>
    <row r="17" spans="1:13" x14ac:dyDescent="0.3">
      <c r="A17" s="21">
        <v>2039</v>
      </c>
      <c r="B17" s="49">
        <f>B16*(1+$B$2)</f>
        <v>1549.4581920551393</v>
      </c>
      <c r="D17" s="19">
        <v>0</v>
      </c>
      <c r="F17" s="33">
        <f t="shared" si="0"/>
        <v>1549.4581920551393</v>
      </c>
      <c r="H17" s="33">
        <f t="shared" si="1"/>
        <v>233193.45790429847</v>
      </c>
      <c r="I17" s="33"/>
      <c r="J17" s="33">
        <f t="shared" si="2"/>
        <v>252561.68530498771</v>
      </c>
    </row>
    <row r="18" spans="1:13" x14ac:dyDescent="0.3">
      <c r="A18" s="21">
        <v>2040</v>
      </c>
      <c r="B18" s="49">
        <f>B17*(1+$B$2)</f>
        <v>1595.9419378167936</v>
      </c>
      <c r="D18" s="19">
        <v>0</v>
      </c>
      <c r="F18" s="33">
        <f t="shared" si="0"/>
        <v>1595.9419378167936</v>
      </c>
      <c r="H18" s="33">
        <f t="shared" si="1"/>
        <v>240189.26164142744</v>
      </c>
      <c r="I18" s="33"/>
      <c r="J18" s="33">
        <f t="shared" si="2"/>
        <v>260138.53586413735</v>
      </c>
    </row>
    <row r="19" spans="1:13" x14ac:dyDescent="0.3">
      <c r="A19" s="21">
        <v>2041</v>
      </c>
      <c r="B19" s="49">
        <f>B18*(1+$B$2)+$B$4</f>
        <v>1893.8201959512974</v>
      </c>
      <c r="D19" s="19">
        <v>0</v>
      </c>
      <c r="F19" s="33">
        <f t="shared" si="0"/>
        <v>1893.8201959512974</v>
      </c>
      <c r="H19" s="33">
        <f t="shared" si="1"/>
        <v>285019.93949067028</v>
      </c>
      <c r="I19" s="33"/>
      <c r="J19" s="33">
        <f t="shared" si="2"/>
        <v>308692.69194006146</v>
      </c>
      <c r="M19" s="33"/>
    </row>
    <row r="20" spans="1:13" x14ac:dyDescent="0.3">
      <c r="A20" s="21">
        <v>2042</v>
      </c>
      <c r="B20" s="49">
        <f>B19*(1+$B$2)</f>
        <v>1950.6348018298363</v>
      </c>
      <c r="D20" s="19">
        <v>0</v>
      </c>
      <c r="F20" s="33">
        <f t="shared" si="0"/>
        <v>1950.6348018298363</v>
      </c>
      <c r="H20" s="33">
        <f t="shared" si="1"/>
        <v>293570.53767539037</v>
      </c>
      <c r="I20" s="33"/>
      <c r="J20" s="33">
        <f t="shared" si="2"/>
        <v>317953.4726982633</v>
      </c>
    </row>
    <row r="21" spans="1:13" x14ac:dyDescent="0.3">
      <c r="A21" s="21">
        <v>2043</v>
      </c>
      <c r="B21" s="49">
        <f>B20*(1+$B$2)</f>
        <v>2009.1538458847315</v>
      </c>
      <c r="D21" s="19">
        <v>0</v>
      </c>
      <c r="F21" s="33">
        <f t="shared" si="0"/>
        <v>2009.1538458847315</v>
      </c>
      <c r="H21" s="33">
        <f t="shared" si="1"/>
        <v>302377.65380565211</v>
      </c>
      <c r="I21" s="33"/>
      <c r="J21" s="33">
        <f t="shared" si="2"/>
        <v>327492.07687921124</v>
      </c>
    </row>
    <row r="22" spans="1:13" x14ac:dyDescent="0.3">
      <c r="A22" s="21">
        <v>2044</v>
      </c>
      <c r="B22" s="49">
        <f>B21*(1+$B$2)+$B$4</f>
        <v>2319.4284612612737</v>
      </c>
      <c r="D22" s="19">
        <v>0</v>
      </c>
      <c r="F22" s="33">
        <f t="shared" si="0"/>
        <v>2319.4284612612737</v>
      </c>
      <c r="H22" s="33">
        <f t="shared" si="1"/>
        <v>349073.98341982171</v>
      </c>
      <c r="I22" s="33"/>
      <c r="J22" s="33">
        <f t="shared" si="2"/>
        <v>378066.8391855876</v>
      </c>
      <c r="L22" s="33"/>
    </row>
    <row r="23" spans="1:13" x14ac:dyDescent="0.3">
      <c r="A23" s="21">
        <v>2045</v>
      </c>
      <c r="B23" s="49">
        <f>B22*(1+$B$2)</f>
        <v>2389.0113150991119</v>
      </c>
      <c r="D23" s="19">
        <v>0</v>
      </c>
      <c r="F23" s="33">
        <f t="shared" si="0"/>
        <v>2389.0113150991119</v>
      </c>
      <c r="H23" s="33">
        <f t="shared" si="1"/>
        <v>359546.20292241633</v>
      </c>
      <c r="I23" s="33"/>
      <c r="J23" s="33">
        <f t="shared" si="2"/>
        <v>389408.84436115524</v>
      </c>
    </row>
    <row r="24" spans="1:13" x14ac:dyDescent="0.3">
      <c r="A24" s="21">
        <v>2046</v>
      </c>
      <c r="B24" s="49">
        <f>B23*(1+$B$2)</f>
        <v>2460.6816545520855</v>
      </c>
      <c r="D24" s="19">
        <v>0</v>
      </c>
      <c r="F24" s="33">
        <f t="shared" si="0"/>
        <v>2460.6816545520855</v>
      </c>
      <c r="H24" s="33">
        <f t="shared" si="1"/>
        <v>370332.58901008888</v>
      </c>
      <c r="I24" s="33"/>
      <c r="J24" s="33">
        <f t="shared" si="2"/>
        <v>401091.10969198996</v>
      </c>
    </row>
    <row r="25" spans="1:13" x14ac:dyDescent="0.3">
      <c r="A25" s="21">
        <v>2047</v>
      </c>
      <c r="B25" s="49">
        <f>B24*(1+$B$2)+$B$4</f>
        <v>2784.502104188648</v>
      </c>
      <c r="D25" s="19">
        <v>0</v>
      </c>
      <c r="F25" s="33">
        <f t="shared" si="0"/>
        <v>2784.502104188648</v>
      </c>
      <c r="H25" s="33">
        <f t="shared" si="1"/>
        <v>419067.56668039149</v>
      </c>
      <c r="I25" s="33"/>
      <c r="J25" s="33">
        <f t="shared" si="2"/>
        <v>453873.84298274963</v>
      </c>
    </row>
    <row r="26" spans="1:13" x14ac:dyDescent="0.3">
      <c r="A26" s="21">
        <v>2048</v>
      </c>
      <c r="B26" s="49">
        <f>B25*(1+$B$2)</f>
        <v>2868.0371673143077</v>
      </c>
      <c r="D26" s="19">
        <v>0</v>
      </c>
      <c r="F26" s="33">
        <f t="shared" si="0"/>
        <v>2868.0371673143077</v>
      </c>
      <c r="H26" s="33">
        <f t="shared" si="1"/>
        <v>431639.59368080331</v>
      </c>
      <c r="I26" s="33"/>
      <c r="J26" s="33">
        <f t="shared" si="2"/>
        <v>467490.05827223213</v>
      </c>
    </row>
    <row r="27" spans="1:13" x14ac:dyDescent="0.3">
      <c r="A27" s="21">
        <v>2049</v>
      </c>
      <c r="B27" s="49">
        <f>B26*(1+$B$2)</f>
        <v>2954.0782823337372</v>
      </c>
      <c r="D27" s="19">
        <v>0</v>
      </c>
      <c r="F27" s="33">
        <f t="shared" si="0"/>
        <v>2954.0782823337372</v>
      </c>
      <c r="H27" s="33">
        <f t="shared" si="1"/>
        <v>444588.78149122745</v>
      </c>
      <c r="I27" s="33"/>
      <c r="J27" s="33">
        <f t="shared" si="2"/>
        <v>481514.76002039918</v>
      </c>
    </row>
    <row r="28" spans="1:13" x14ac:dyDescent="0.3">
      <c r="A28" s="21">
        <v>2050</v>
      </c>
      <c r="B28" s="49">
        <f>B27*(1+$B$2)+$B$4</f>
        <v>3292.7006308037494</v>
      </c>
      <c r="D28" s="19">
        <v>0</v>
      </c>
      <c r="F28" s="33">
        <f t="shared" si="0"/>
        <v>3292.7006308037494</v>
      </c>
      <c r="H28" s="33">
        <f t="shared" si="1"/>
        <v>495551.4449359643</v>
      </c>
      <c r="I28" s="33"/>
      <c r="J28" s="33">
        <f t="shared" si="2"/>
        <v>536710.20282101119</v>
      </c>
    </row>
    <row r="29" spans="1:13" x14ac:dyDescent="0.3">
      <c r="A29" s="21">
        <v>2051</v>
      </c>
      <c r="B29" s="49">
        <f>B28*(1+$B$2)</f>
        <v>3391.4816497278621</v>
      </c>
      <c r="D29" s="19">
        <v>0</v>
      </c>
      <c r="F29" s="33">
        <f t="shared" si="0"/>
        <v>3391.4816497278621</v>
      </c>
      <c r="H29" s="33">
        <f t="shared" si="1"/>
        <v>510417.98828404327</v>
      </c>
      <c r="I29" s="33"/>
      <c r="J29" s="33">
        <f t="shared" si="2"/>
        <v>552811.5089056415</v>
      </c>
    </row>
    <row r="30" spans="1:13" x14ac:dyDescent="0.3">
      <c r="A30" s="21">
        <v>2052</v>
      </c>
      <c r="B30" s="49">
        <f>B29*(1+$B$2)</f>
        <v>3493.226099219698</v>
      </c>
      <c r="D30" s="19">
        <v>0</v>
      </c>
      <c r="F30" s="33">
        <f t="shared" si="0"/>
        <v>3493.226099219698</v>
      </c>
      <c r="H30" s="33">
        <f t="shared" si="1"/>
        <v>525730.5279325645</v>
      </c>
      <c r="I30" s="33"/>
      <c r="J30" s="33">
        <f t="shared" si="2"/>
        <v>569395.8541728108</v>
      </c>
    </row>
    <row r="31" spans="1:13" x14ac:dyDescent="0.3">
      <c r="A31" s="21">
        <v>2053</v>
      </c>
      <c r="B31" s="49">
        <f>B30*(1+$B$2)+$B$4</f>
        <v>3848.0228821962892</v>
      </c>
      <c r="D31" s="19">
        <v>0</v>
      </c>
      <c r="F31" s="33">
        <f t="shared" si="0"/>
        <v>3848.0228821962892</v>
      </c>
      <c r="H31" s="33">
        <f t="shared" si="1"/>
        <v>579127.44377054158</v>
      </c>
      <c r="I31" s="33"/>
      <c r="J31" s="33">
        <f t="shared" si="2"/>
        <v>627227.72979799518</v>
      </c>
    </row>
    <row r="32" spans="1:13" x14ac:dyDescent="0.3">
      <c r="A32" s="21">
        <v>2054</v>
      </c>
      <c r="B32" s="49">
        <f>B31*(1+$B$2)</f>
        <v>3963.4635686621777</v>
      </c>
      <c r="D32" s="19">
        <v>0</v>
      </c>
      <c r="F32" s="33">
        <f t="shared" si="0"/>
        <v>3963.4635686621777</v>
      </c>
      <c r="H32" s="33">
        <f t="shared" si="1"/>
        <v>596501.26708365779</v>
      </c>
      <c r="I32" s="33"/>
      <c r="J32" s="33">
        <f t="shared" si="2"/>
        <v>646044.56169193494</v>
      </c>
    </row>
    <row r="33" spans="1:10" x14ac:dyDescent="0.3">
      <c r="A33" s="21">
        <v>2055</v>
      </c>
      <c r="B33" s="49">
        <f>B32*(1+$B$2)</f>
        <v>4082.3674757220433</v>
      </c>
      <c r="D33" s="19">
        <v>0</v>
      </c>
      <c r="F33" s="33">
        <f t="shared" si="0"/>
        <v>4082.3674757220433</v>
      </c>
      <c r="H33" s="33">
        <f t="shared" si="1"/>
        <v>614396.30509616749</v>
      </c>
      <c r="I33" s="33"/>
      <c r="J33" s="33">
        <f t="shared" si="2"/>
        <v>665425.89854269312</v>
      </c>
    </row>
    <row r="35" spans="1:10" x14ac:dyDescent="0.3">
      <c r="F35" s="33"/>
    </row>
    <row r="42" spans="1:10" x14ac:dyDescent="0.3">
      <c r="B42" s="47"/>
    </row>
  </sheetData>
  <pageMargins left="0" right="0" top="0.75" bottom="0.75" header="0.3" footer="0.3"/>
  <pageSetup scale="3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9AD28-F24F-476F-A76D-1B1CAD56DED6}">
  <sheetPr>
    <tabColor theme="2"/>
  </sheetPr>
  <dimension ref="A1:U27"/>
  <sheetViews>
    <sheetView workbookViewId="0"/>
  </sheetViews>
  <sheetFormatPr defaultRowHeight="15" x14ac:dyDescent="0.3"/>
  <cols>
    <col min="1" max="1" width="15.86328125" customWidth="1"/>
    <col min="2" max="2" width="15.796875" customWidth="1"/>
    <col min="4" max="4" width="15.86328125" bestFit="1" customWidth="1"/>
    <col min="5" max="5" width="17" bestFit="1" customWidth="1"/>
  </cols>
  <sheetData>
    <row r="1" spans="1:21" ht="16.5" customHeight="1" x14ac:dyDescent="0.3">
      <c r="B1" s="39" t="s">
        <v>24</v>
      </c>
      <c r="E1" s="39" t="s">
        <v>25</v>
      </c>
      <c r="G1" s="44" t="s">
        <v>109</v>
      </c>
    </row>
    <row r="2" spans="1:21" x14ac:dyDescent="0.3">
      <c r="A2" s="37" t="s">
        <v>20</v>
      </c>
      <c r="B2" s="38">
        <v>35</v>
      </c>
      <c r="D2" s="37" t="s">
        <v>20</v>
      </c>
      <c r="E2" s="38">
        <v>38</v>
      </c>
    </row>
    <row r="3" spans="1:21" x14ac:dyDescent="0.3">
      <c r="A3" s="37" t="s">
        <v>21</v>
      </c>
      <c r="B3" s="38">
        <v>55</v>
      </c>
      <c r="D3" s="37" t="s">
        <v>21</v>
      </c>
      <c r="E3" s="38">
        <v>86</v>
      </c>
    </row>
    <row r="4" spans="1:21" x14ac:dyDescent="0.3">
      <c r="A4" s="37" t="s">
        <v>22</v>
      </c>
      <c r="B4" s="38">
        <v>75</v>
      </c>
      <c r="D4" s="37" t="s">
        <v>22</v>
      </c>
      <c r="E4" s="38">
        <v>96</v>
      </c>
    </row>
    <row r="5" spans="1:21" ht="15.5" thickBot="1" x14ac:dyDescent="0.35">
      <c r="A5" s="40" t="s">
        <v>23</v>
      </c>
      <c r="B5" s="41">
        <v>80</v>
      </c>
      <c r="D5" s="40" t="s">
        <v>23</v>
      </c>
      <c r="E5" s="41">
        <v>106</v>
      </c>
    </row>
    <row r="6" spans="1:21" x14ac:dyDescent="0.3">
      <c r="A6" s="42" t="s">
        <v>26</v>
      </c>
      <c r="B6" s="43">
        <f>AVERAGE(B2:B5)</f>
        <v>61.25</v>
      </c>
      <c r="D6" s="42" t="s">
        <v>26</v>
      </c>
      <c r="E6" s="38">
        <f>AVERAGE(E2:E5)</f>
        <v>81.5</v>
      </c>
    </row>
    <row r="9" spans="1:21" x14ac:dyDescent="0.3">
      <c r="A9" s="42" t="s">
        <v>28</v>
      </c>
      <c r="B9" s="38">
        <v>85</v>
      </c>
      <c r="D9" s="42" t="s">
        <v>28</v>
      </c>
      <c r="E9" s="38">
        <v>105.4</v>
      </c>
      <c r="G9" s="282" t="s">
        <v>110</v>
      </c>
      <c r="H9" s="282"/>
      <c r="I9" s="282"/>
      <c r="J9" s="282"/>
      <c r="K9" s="282"/>
      <c r="L9" s="282"/>
      <c r="M9" s="282"/>
      <c r="N9" s="282"/>
      <c r="O9" s="282"/>
      <c r="P9" s="282"/>
      <c r="Q9" s="282"/>
      <c r="R9" s="282"/>
    </row>
    <row r="10" spans="1:21" x14ac:dyDescent="0.3">
      <c r="G10" s="282"/>
      <c r="H10" s="282"/>
      <c r="I10" s="282"/>
      <c r="J10" s="282"/>
      <c r="K10" s="282"/>
      <c r="L10" s="282"/>
      <c r="M10" s="282"/>
      <c r="N10" s="282"/>
      <c r="O10" s="282"/>
      <c r="P10" s="282"/>
      <c r="Q10" s="282"/>
      <c r="R10" s="282"/>
    </row>
    <row r="13" spans="1:21" x14ac:dyDescent="0.3">
      <c r="D13" s="42" t="s">
        <v>117</v>
      </c>
      <c r="E13" s="38">
        <v>80</v>
      </c>
      <c r="G13" s="282" t="s">
        <v>119</v>
      </c>
      <c r="H13" s="282"/>
      <c r="I13" s="282"/>
      <c r="J13" s="282"/>
      <c r="K13" s="282"/>
      <c r="L13" s="282"/>
      <c r="M13" s="282"/>
      <c r="N13" s="282"/>
      <c r="O13" s="282"/>
      <c r="P13" s="282"/>
      <c r="Q13" s="282"/>
      <c r="R13" s="282"/>
      <c r="S13" s="282"/>
      <c r="T13" s="282"/>
      <c r="U13" s="282"/>
    </row>
    <row r="14" spans="1:21" x14ac:dyDescent="0.3">
      <c r="G14" s="282"/>
      <c r="H14" s="282"/>
      <c r="I14" s="282"/>
      <c r="J14" s="282"/>
      <c r="K14" s="282"/>
      <c r="L14" s="282"/>
      <c r="M14" s="282"/>
      <c r="N14" s="282"/>
      <c r="O14" s="282"/>
      <c r="P14" s="282"/>
      <c r="Q14" s="282"/>
      <c r="R14" s="282"/>
      <c r="S14" s="282"/>
      <c r="T14" s="282"/>
      <c r="U14" s="282"/>
    </row>
    <row r="16" spans="1:21" ht="15" customHeight="1" x14ac:dyDescent="0.3">
      <c r="H16" s="283" t="s">
        <v>120</v>
      </c>
      <c r="I16" s="283"/>
      <c r="J16" s="283"/>
      <c r="K16" s="283"/>
      <c r="L16" s="283"/>
      <c r="M16" s="283"/>
      <c r="N16" s="283"/>
      <c r="O16" s="283"/>
      <c r="P16" s="283"/>
      <c r="Q16" s="283"/>
      <c r="R16" s="283"/>
    </row>
    <row r="17" spans="1:20" x14ac:dyDescent="0.3">
      <c r="H17" s="283"/>
      <c r="I17" s="283"/>
      <c r="J17" s="283"/>
      <c r="K17" s="283"/>
      <c r="L17" s="283"/>
      <c r="M17" s="283"/>
      <c r="N17" s="283"/>
      <c r="O17" s="283"/>
      <c r="P17" s="283"/>
      <c r="Q17" s="283"/>
      <c r="R17" s="283"/>
    </row>
    <row r="18" spans="1:20" x14ac:dyDescent="0.3">
      <c r="D18" s="194"/>
      <c r="H18" s="283"/>
      <c r="I18" s="283"/>
      <c r="J18" s="283"/>
      <c r="K18" s="283"/>
      <c r="L18" s="283"/>
      <c r="M18" s="283"/>
      <c r="N18" s="283"/>
      <c r="O18" s="283"/>
      <c r="P18" s="283"/>
      <c r="Q18" s="283"/>
      <c r="R18" s="283"/>
    </row>
    <row r="20" spans="1:20" ht="18.5" customHeight="1" x14ac:dyDescent="0.3">
      <c r="A20" s="37" t="s">
        <v>140</v>
      </c>
      <c r="B20" s="38">
        <v>106</v>
      </c>
      <c r="D20" s="37" t="s">
        <v>140</v>
      </c>
      <c r="E20" s="38">
        <v>126</v>
      </c>
      <c r="G20" s="282" t="s">
        <v>141</v>
      </c>
      <c r="H20" s="282"/>
      <c r="I20" s="282"/>
      <c r="J20" s="282"/>
      <c r="K20" s="282"/>
      <c r="L20" s="282"/>
      <c r="M20" s="282"/>
      <c r="N20" s="282"/>
      <c r="O20" s="282"/>
      <c r="P20" s="282"/>
      <c r="Q20" s="282"/>
      <c r="R20" s="282"/>
      <c r="S20" s="282"/>
    </row>
    <row r="21" spans="1:20" x14ac:dyDescent="0.3">
      <c r="G21" s="282"/>
      <c r="H21" s="282"/>
      <c r="I21" s="282"/>
      <c r="J21" s="282"/>
      <c r="K21" s="282"/>
      <c r="L21" s="282"/>
      <c r="M21" s="282"/>
      <c r="N21" s="282"/>
      <c r="O21" s="282"/>
      <c r="P21" s="282"/>
      <c r="Q21" s="282"/>
      <c r="R21" s="282"/>
      <c r="S21" s="282"/>
    </row>
    <row r="23" spans="1:20" x14ac:dyDescent="0.3">
      <c r="A23" s="37" t="s">
        <v>139</v>
      </c>
      <c r="B23" s="38">
        <v>220</v>
      </c>
      <c r="D23" s="37" t="s">
        <v>139</v>
      </c>
      <c r="E23" s="38">
        <v>175</v>
      </c>
      <c r="G23" s="44" t="s">
        <v>142</v>
      </c>
    </row>
    <row r="25" spans="1:20" x14ac:dyDescent="0.3">
      <c r="G25" s="282" t="s">
        <v>143</v>
      </c>
      <c r="H25" s="282"/>
      <c r="I25" s="282"/>
      <c r="J25" s="282"/>
      <c r="K25" s="282"/>
      <c r="L25" s="282"/>
      <c r="M25" s="282"/>
      <c r="N25" s="282"/>
      <c r="O25" s="282"/>
      <c r="P25" s="282"/>
      <c r="Q25" s="282"/>
      <c r="R25" s="282"/>
      <c r="S25" s="282"/>
      <c r="T25" s="282"/>
    </row>
    <row r="26" spans="1:20" x14ac:dyDescent="0.3">
      <c r="G26" s="282"/>
      <c r="H26" s="282"/>
      <c r="I26" s="282"/>
      <c r="J26" s="282"/>
      <c r="K26" s="282"/>
      <c r="L26" s="282"/>
      <c r="M26" s="282"/>
      <c r="N26" s="282"/>
      <c r="O26" s="282"/>
      <c r="P26" s="282"/>
      <c r="Q26" s="282"/>
      <c r="R26" s="282"/>
      <c r="S26" s="282"/>
      <c r="T26" s="282"/>
    </row>
    <row r="27" spans="1:20" x14ac:dyDescent="0.3">
      <c r="G27" s="282"/>
      <c r="H27" s="282"/>
      <c r="I27" s="282"/>
      <c r="J27" s="282"/>
      <c r="K27" s="282"/>
      <c r="L27" s="282"/>
      <c r="M27" s="282"/>
      <c r="N27" s="282"/>
      <c r="O27" s="282"/>
      <c r="P27" s="282"/>
      <c r="Q27" s="282"/>
      <c r="R27" s="282"/>
      <c r="S27" s="282"/>
      <c r="T27" s="282"/>
    </row>
  </sheetData>
  <mergeCells count="5">
    <mergeCell ref="G13:U14"/>
    <mergeCell ref="G9:R10"/>
    <mergeCell ref="H16:R18"/>
    <mergeCell ref="G20:S21"/>
    <mergeCell ref="G25:T27"/>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B62EF-D3F0-49B1-AB34-A065317312D9}">
  <sheetPr>
    <tabColor rgb="FF0070C0"/>
    <pageSetUpPr fitToPage="1"/>
  </sheetPr>
  <dimension ref="A1:IU16"/>
  <sheetViews>
    <sheetView showGridLines="0" workbookViewId="0">
      <selection sqref="A1:C1"/>
    </sheetView>
  </sheetViews>
  <sheetFormatPr defaultColWidth="6.59765625" defaultRowHeight="15" customHeight="1" x14ac:dyDescent="0.3"/>
  <cols>
    <col min="1" max="1" width="26.06640625" style="58" bestFit="1" customWidth="1"/>
    <col min="2" max="2" width="11.06640625" style="58" customWidth="1"/>
    <col min="3" max="3" width="11.06640625" style="58" bestFit="1" customWidth="1"/>
    <col min="4" max="4" width="3.19921875" style="58" bestFit="1" customWidth="1"/>
    <col min="5" max="5" width="11.3984375" style="116" bestFit="1" customWidth="1"/>
    <col min="6" max="255" width="6.59765625" style="58" customWidth="1"/>
    <col min="256" max="16384" width="6.59765625" style="91"/>
  </cols>
  <sheetData>
    <row r="1" spans="1:5" ht="15" customHeight="1" thickBot="1" x14ac:dyDescent="0.35">
      <c r="A1" s="251" t="s">
        <v>114</v>
      </c>
      <c r="B1" s="251"/>
      <c r="C1" s="251"/>
    </row>
    <row r="2" spans="1:5" ht="15.75" customHeight="1" thickBot="1" x14ac:dyDescent="0.4">
      <c r="A2" s="252" t="s">
        <v>60</v>
      </c>
      <c r="B2" s="253"/>
      <c r="C2" s="254"/>
    </row>
    <row r="3" spans="1:5" ht="15.75" customHeight="1" thickBot="1" x14ac:dyDescent="0.4">
      <c r="A3" s="117"/>
      <c r="B3" s="118" t="s">
        <v>61</v>
      </c>
      <c r="C3" s="119" t="s">
        <v>62</v>
      </c>
      <c r="E3" s="120" t="s">
        <v>63</v>
      </c>
    </row>
    <row r="4" spans="1:5" ht="17.5" customHeight="1" x14ac:dyDescent="0.3">
      <c r="A4" s="121" t="s">
        <v>137</v>
      </c>
      <c r="B4" s="122">
        <f>'Initial Capital Cost'!D38</f>
        <v>42219110.117632963</v>
      </c>
      <c r="C4" s="123"/>
    </row>
    <row r="5" spans="1:5" ht="17.25" customHeight="1" x14ac:dyDescent="0.3">
      <c r="A5" s="124" t="s">
        <v>64</v>
      </c>
      <c r="B5" s="122">
        <f>'Maintenance Costs'!D39</f>
        <v>114244.59988302771</v>
      </c>
      <c r="C5" s="126"/>
      <c r="E5" s="127"/>
    </row>
    <row r="6" spans="1:5" s="58" customFormat="1" ht="17.25" customHeight="1" x14ac:dyDescent="0.3">
      <c r="A6" s="124" t="s">
        <v>105</v>
      </c>
      <c r="B6" s="128"/>
      <c r="C6" s="126">
        <f>'Truck Elimination (Inbound)'!U39</f>
        <v>46143445.819015794</v>
      </c>
      <c r="E6" s="127">
        <f>C6/C$13</f>
        <v>0.23985629179093937</v>
      </c>
    </row>
    <row r="7" spans="1:5" s="58" customFormat="1" ht="17.25" customHeight="1" x14ac:dyDescent="0.3">
      <c r="A7" s="124" t="s">
        <v>106</v>
      </c>
      <c r="B7" s="122">
        <f>'Rail Impact-Baseline (Inbound)'!R39</f>
        <v>6125544.4528687261</v>
      </c>
      <c r="C7" s="123"/>
      <c r="E7" s="129"/>
    </row>
    <row r="8" spans="1:5" s="58" customFormat="1" ht="17.25" customHeight="1" x14ac:dyDescent="0.3">
      <c r="A8" s="124" t="s">
        <v>107</v>
      </c>
      <c r="B8" s="128"/>
      <c r="C8" s="126">
        <f>'Truck Elimination (Outbound)'!U39</f>
        <v>117168199.78467135</v>
      </c>
      <c r="E8" s="127">
        <f>C8/C$13</f>
        <v>0.60904705787251157</v>
      </c>
    </row>
    <row r="9" spans="1:5" s="58" customFormat="1" ht="17.25" customHeight="1" x14ac:dyDescent="0.3">
      <c r="A9" s="124" t="s">
        <v>108</v>
      </c>
      <c r="B9" s="122">
        <f>'Rail Impact-Baseline (Outbound)'!R39</f>
        <v>13135853.698453562</v>
      </c>
      <c r="C9" s="123"/>
      <c r="E9" s="129"/>
    </row>
    <row r="10" spans="1:5" s="58" customFormat="1" ht="17.25" customHeight="1" x14ac:dyDescent="0.3">
      <c r="A10" s="124" t="s">
        <v>159</v>
      </c>
      <c r="B10" s="122"/>
      <c r="C10" s="126">
        <f>'Truck Elim (New Park Customers)'!U39</f>
        <v>18311541.712078795</v>
      </c>
      <c r="E10" s="127">
        <f>C10/C$13</f>
        <v>9.5184449580579894E-2</v>
      </c>
    </row>
    <row r="11" spans="1:5" s="58" customFormat="1" ht="17.25" customHeight="1" x14ac:dyDescent="0.3">
      <c r="A11" s="124" t="s">
        <v>160</v>
      </c>
      <c r="B11" s="122">
        <f>'Rail Base (New Park Customers)'!R39</f>
        <v>2253177.5341580082</v>
      </c>
      <c r="C11" s="123"/>
      <c r="E11" s="129"/>
    </row>
    <row r="12" spans="1:5" s="58" customFormat="1" ht="17.25" customHeight="1" thickBot="1" x14ac:dyDescent="0.35">
      <c r="A12" s="124" t="s">
        <v>65</v>
      </c>
      <c r="B12" s="125"/>
      <c r="C12" s="130">
        <f>'CO2 Net Savings'!H39</f>
        <v>10756364.100107647</v>
      </c>
      <c r="E12" s="127">
        <f>C12/C$13</f>
        <v>5.5912200755969338E-2</v>
      </c>
    </row>
    <row r="13" spans="1:5" s="58" customFormat="1" ht="15.75" customHeight="1" thickBot="1" x14ac:dyDescent="0.35">
      <c r="A13" s="131" t="s">
        <v>12</v>
      </c>
      <c r="B13" s="132">
        <f>SUM(B4:B12)</f>
        <v>63847930.402996287</v>
      </c>
      <c r="C13" s="133">
        <f>SUM(C4:C12)</f>
        <v>192379551.41587356</v>
      </c>
      <c r="E13" s="129"/>
    </row>
    <row r="14" spans="1:5" s="58" customFormat="1" ht="4" customHeight="1" thickBot="1" x14ac:dyDescent="0.35">
      <c r="A14" s="134"/>
      <c r="B14" s="135"/>
      <c r="C14" s="136"/>
      <c r="E14" s="116"/>
    </row>
    <row r="15" spans="1:5" s="58" customFormat="1" ht="15.75" customHeight="1" thickBot="1" x14ac:dyDescent="0.4">
      <c r="A15" s="137" t="s">
        <v>66</v>
      </c>
      <c r="B15" s="255">
        <f>C13/B13</f>
        <v>3.0130898558748815</v>
      </c>
      <c r="C15" s="256"/>
      <c r="E15" s="116"/>
    </row>
    <row r="16" spans="1:5" s="58" customFormat="1" ht="15.75" hidden="1" customHeight="1" thickBot="1" x14ac:dyDescent="0.4">
      <c r="A16" s="138"/>
      <c r="B16" s="138"/>
      <c r="C16" s="138"/>
      <c r="D16" s="79"/>
      <c r="E16" s="116"/>
    </row>
  </sheetData>
  <mergeCells count="3">
    <mergeCell ref="A1:C1"/>
    <mergeCell ref="A2:C2"/>
    <mergeCell ref="B15:C15"/>
  </mergeCells>
  <pageMargins left="0.75" right="0.75" top="1" bottom="1" header="0.5" footer="0.5"/>
  <pageSetup scale="98" orientation="portrait" r:id="rId1"/>
  <headerFooter>
    <oddFooter>&amp;L&amp;"Helvetica,Regular"&amp;12&amp;K000000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0CF4B-7882-4A85-945F-1B8A9960EAE0}">
  <sheetPr>
    <tabColor rgb="FFFF0000"/>
    <pageSetUpPr fitToPage="1"/>
  </sheetPr>
  <dimension ref="A1:IU38"/>
  <sheetViews>
    <sheetView showGridLines="0" workbookViewId="0"/>
  </sheetViews>
  <sheetFormatPr defaultColWidth="6.59765625" defaultRowHeight="15" customHeight="1" x14ac:dyDescent="0.3"/>
  <cols>
    <col min="1" max="1" width="3.6640625" style="58" customWidth="1"/>
    <col min="2" max="2" width="10.1328125" style="58" customWidth="1"/>
    <col min="3" max="3" width="11.46484375" style="58" customWidth="1"/>
    <col min="4" max="4" width="9.3984375" style="58" customWidth="1"/>
    <col min="5" max="5" width="6.59765625" style="58" customWidth="1"/>
    <col min="6" max="6" width="8.46484375" style="58" bestFit="1" customWidth="1"/>
    <col min="7" max="7" width="2.6640625" style="58" bestFit="1" customWidth="1"/>
    <col min="8" max="9" width="6.59765625" style="58" customWidth="1"/>
    <col min="10" max="10" width="23.59765625" style="58" customWidth="1"/>
    <col min="11" max="255" width="6.59765625" style="58" customWidth="1"/>
    <col min="256" max="16384" width="6.59765625" style="91"/>
  </cols>
  <sheetData>
    <row r="1" spans="1:10" ht="15.75" customHeight="1" thickBot="1" x14ac:dyDescent="0.4">
      <c r="A1" s="168" t="s">
        <v>0</v>
      </c>
      <c r="B1" s="57" t="s">
        <v>1</v>
      </c>
      <c r="C1" s="63" t="s">
        <v>104</v>
      </c>
      <c r="D1" s="63" t="s">
        <v>2</v>
      </c>
    </row>
    <row r="2" spans="1:10" ht="17.25" customHeight="1" x14ac:dyDescent="0.35">
      <c r="A2" s="64">
        <v>0</v>
      </c>
      <c r="B2" s="169">
        <v>2020</v>
      </c>
      <c r="C2" s="170"/>
      <c r="D2" s="67"/>
    </row>
    <row r="3" spans="1:10" ht="17.25" customHeight="1" x14ac:dyDescent="0.35">
      <c r="A3" s="64">
        <v>1</v>
      </c>
      <c r="B3" s="169">
        <v>2021</v>
      </c>
      <c r="C3" s="170"/>
      <c r="D3" s="67"/>
    </row>
    <row r="4" spans="1:10" ht="17.25" customHeight="1" x14ac:dyDescent="0.35">
      <c r="A4" s="64">
        <v>2</v>
      </c>
      <c r="B4" s="169">
        <v>2022</v>
      </c>
      <c r="C4" s="170"/>
      <c r="D4" s="67"/>
    </row>
    <row r="5" spans="1:10" ht="17.25" customHeight="1" x14ac:dyDescent="0.35">
      <c r="A5" s="64">
        <v>3</v>
      </c>
      <c r="B5" s="169">
        <v>2023</v>
      </c>
      <c r="C5" s="170">
        <v>5680509</v>
      </c>
      <c r="D5" s="67">
        <f>C5/(1+0.07)^A5</f>
        <v>4636987.4363593766</v>
      </c>
    </row>
    <row r="6" spans="1:10" ht="17.25" customHeight="1" x14ac:dyDescent="0.35">
      <c r="A6" s="64">
        <v>4</v>
      </c>
      <c r="B6" s="169">
        <v>2024</v>
      </c>
      <c r="C6" s="170">
        <v>22720203</v>
      </c>
      <c r="D6" s="67">
        <f t="shared" ref="D6:D7" si="0">C6/(1+0.07)^A6</f>
        <v>17333134.085447818</v>
      </c>
    </row>
    <row r="7" spans="1:10" ht="17.25" customHeight="1" x14ac:dyDescent="0.35">
      <c r="A7" s="64">
        <v>5</v>
      </c>
      <c r="B7" s="169">
        <v>2025</v>
      </c>
      <c r="C7" s="170">
        <v>28400254</v>
      </c>
      <c r="D7" s="67">
        <f t="shared" si="0"/>
        <v>20248988.595825769</v>
      </c>
    </row>
    <row r="8" spans="1:10" ht="17.25" customHeight="1" x14ac:dyDescent="0.35">
      <c r="A8" s="169">
        <v>6</v>
      </c>
      <c r="B8" s="169">
        <v>2026</v>
      </c>
      <c r="C8" s="169"/>
      <c r="D8" s="67"/>
    </row>
    <row r="9" spans="1:10" ht="17.25" customHeight="1" x14ac:dyDescent="0.35">
      <c r="A9" s="64">
        <v>7</v>
      </c>
      <c r="B9" s="169">
        <v>2027</v>
      </c>
      <c r="C9" s="170"/>
      <c r="D9" s="67"/>
    </row>
    <row r="10" spans="1:10" ht="17.25" customHeight="1" x14ac:dyDescent="0.35">
      <c r="A10" s="64">
        <v>8</v>
      </c>
      <c r="B10" s="169">
        <v>2028</v>
      </c>
      <c r="C10" s="170"/>
      <c r="D10" s="67"/>
    </row>
    <row r="11" spans="1:10" ht="17.25" customHeight="1" x14ac:dyDescent="0.35">
      <c r="A11" s="64">
        <v>9</v>
      </c>
      <c r="B11" s="169">
        <v>2029</v>
      </c>
      <c r="C11" s="170"/>
      <c r="D11" s="67"/>
    </row>
    <row r="12" spans="1:10" ht="17.25" customHeight="1" x14ac:dyDescent="0.35">
      <c r="A12" s="64">
        <v>10</v>
      </c>
      <c r="B12" s="169">
        <v>2030</v>
      </c>
      <c r="C12" s="171"/>
      <c r="D12" s="171"/>
    </row>
    <row r="13" spans="1:10" ht="17.25" customHeight="1" x14ac:dyDescent="0.35">
      <c r="A13" s="64">
        <v>11</v>
      </c>
      <c r="B13" s="169">
        <v>2031</v>
      </c>
      <c r="C13" s="172"/>
      <c r="D13" s="172"/>
      <c r="J13" s="173"/>
    </row>
    <row r="14" spans="1:10" ht="17.25" customHeight="1" x14ac:dyDescent="0.35">
      <c r="A14" s="64">
        <v>12</v>
      </c>
      <c r="B14" s="169">
        <v>2032</v>
      </c>
      <c r="C14" s="174"/>
      <c r="D14" s="174"/>
      <c r="J14" s="90"/>
    </row>
    <row r="15" spans="1:10" ht="17.25" customHeight="1" x14ac:dyDescent="0.35">
      <c r="A15" s="64">
        <v>13</v>
      </c>
      <c r="B15" s="169">
        <v>2033</v>
      </c>
      <c r="C15" s="174"/>
      <c r="D15" s="174"/>
    </row>
    <row r="16" spans="1:10" ht="17.25" customHeight="1" x14ac:dyDescent="0.35">
      <c r="A16" s="64">
        <v>14</v>
      </c>
      <c r="B16" s="169">
        <v>2034</v>
      </c>
      <c r="C16" s="174"/>
      <c r="D16" s="174"/>
    </row>
    <row r="17" spans="1:8" ht="17.25" customHeight="1" x14ac:dyDescent="0.35">
      <c r="A17" s="64">
        <v>15</v>
      </c>
      <c r="B17" s="169">
        <v>2035</v>
      </c>
      <c r="C17" s="174"/>
      <c r="D17" s="174"/>
    </row>
    <row r="18" spans="1:8" ht="17.25" customHeight="1" x14ac:dyDescent="0.35">
      <c r="A18" s="64">
        <v>16</v>
      </c>
      <c r="B18" s="169">
        <v>2036</v>
      </c>
      <c r="C18" s="174"/>
      <c r="D18" s="174"/>
    </row>
    <row r="19" spans="1:8" ht="17.25" customHeight="1" x14ac:dyDescent="0.35">
      <c r="A19" s="64">
        <v>17</v>
      </c>
      <c r="B19" s="169">
        <v>2037</v>
      </c>
      <c r="C19" s="174"/>
      <c r="D19" s="174"/>
    </row>
    <row r="20" spans="1:8" ht="17.25" customHeight="1" x14ac:dyDescent="0.35">
      <c r="A20" s="64">
        <v>18</v>
      </c>
      <c r="B20" s="169">
        <v>2038</v>
      </c>
      <c r="C20" s="174"/>
      <c r="D20" s="174"/>
    </row>
    <row r="21" spans="1:8" ht="17.25" customHeight="1" x14ac:dyDescent="0.35">
      <c r="A21" s="64">
        <v>19</v>
      </c>
      <c r="B21" s="169">
        <v>2039</v>
      </c>
      <c r="C21" s="174"/>
      <c r="D21" s="174"/>
    </row>
    <row r="22" spans="1:8" ht="17.25" customHeight="1" x14ac:dyDescent="0.35">
      <c r="A22" s="64">
        <v>20</v>
      </c>
      <c r="B22" s="169">
        <v>2040</v>
      </c>
      <c r="C22" s="174"/>
      <c r="D22" s="174"/>
    </row>
    <row r="23" spans="1:8" ht="17.25" customHeight="1" x14ac:dyDescent="0.35">
      <c r="A23" s="64">
        <v>21</v>
      </c>
      <c r="B23" s="169">
        <v>2041</v>
      </c>
      <c r="C23" s="174"/>
      <c r="D23" s="174"/>
    </row>
    <row r="24" spans="1:8" ht="17.25" customHeight="1" x14ac:dyDescent="0.35">
      <c r="A24" s="64">
        <v>22</v>
      </c>
      <c r="B24" s="169">
        <v>2042</v>
      </c>
      <c r="C24" s="174"/>
      <c r="D24" s="174"/>
    </row>
    <row r="25" spans="1:8" ht="17.25" customHeight="1" x14ac:dyDescent="0.35">
      <c r="A25" s="64">
        <v>23</v>
      </c>
      <c r="B25" s="169">
        <v>2043</v>
      </c>
      <c r="C25" s="174"/>
      <c r="D25" s="174"/>
    </row>
    <row r="26" spans="1:8" ht="17.25" customHeight="1" x14ac:dyDescent="0.35">
      <c r="A26" s="64">
        <v>24</v>
      </c>
      <c r="B26" s="169">
        <v>2044</v>
      </c>
      <c r="C26" s="174"/>
      <c r="D26" s="174"/>
    </row>
    <row r="27" spans="1:8" ht="17.25" customHeight="1" x14ac:dyDescent="0.35">
      <c r="A27" s="64">
        <v>25</v>
      </c>
      <c r="B27" s="169">
        <v>2045</v>
      </c>
      <c r="C27" s="174"/>
      <c r="D27" s="174"/>
    </row>
    <row r="28" spans="1:8" ht="15.75" customHeight="1" x14ac:dyDescent="0.35">
      <c r="A28" s="64">
        <v>26</v>
      </c>
      <c r="B28" s="169">
        <v>2046</v>
      </c>
      <c r="C28" s="174"/>
      <c r="D28" s="174"/>
    </row>
    <row r="29" spans="1:8" ht="15.75" customHeight="1" x14ac:dyDescent="0.35">
      <c r="A29" s="64">
        <v>27</v>
      </c>
      <c r="B29" s="169">
        <v>2047</v>
      </c>
      <c r="C29" s="174"/>
      <c r="D29" s="174"/>
    </row>
    <row r="30" spans="1:8" ht="15.75" customHeight="1" x14ac:dyDescent="0.35">
      <c r="A30" s="64">
        <v>28</v>
      </c>
      <c r="B30" s="169">
        <v>2048</v>
      </c>
      <c r="C30" s="174"/>
      <c r="D30" s="174"/>
      <c r="F30" s="91"/>
      <c r="G30" s="91"/>
      <c r="H30" s="91"/>
    </row>
    <row r="31" spans="1:8" ht="15.75" customHeight="1" x14ac:dyDescent="0.35">
      <c r="A31" s="64">
        <v>29</v>
      </c>
      <c r="B31" s="169">
        <v>2049</v>
      </c>
      <c r="C31" s="172"/>
      <c r="D31" s="172"/>
      <c r="F31" s="91"/>
      <c r="G31" s="91"/>
      <c r="H31" s="91"/>
    </row>
    <row r="32" spans="1:8" ht="15.75" customHeight="1" x14ac:dyDescent="0.35">
      <c r="A32" s="64">
        <v>30</v>
      </c>
      <c r="B32" s="169">
        <v>2050</v>
      </c>
      <c r="C32" s="172"/>
      <c r="D32" s="172"/>
      <c r="F32" s="91"/>
      <c r="G32" s="91"/>
      <c r="H32" s="91"/>
    </row>
    <row r="33" spans="1:8" ht="15.75" customHeight="1" x14ac:dyDescent="0.35">
      <c r="A33" s="64">
        <v>31</v>
      </c>
      <c r="B33" s="169">
        <v>2051</v>
      </c>
      <c r="C33" s="172"/>
      <c r="D33" s="172"/>
      <c r="F33" s="91"/>
      <c r="G33" s="91"/>
      <c r="H33" s="91"/>
    </row>
    <row r="34" spans="1:8" ht="15.75" customHeight="1" x14ac:dyDescent="0.35">
      <c r="A34" s="64">
        <v>32</v>
      </c>
      <c r="B34" s="169">
        <v>2052</v>
      </c>
      <c r="C34" s="172"/>
      <c r="D34" s="172"/>
      <c r="F34" s="91"/>
      <c r="G34" s="91"/>
      <c r="H34" s="91"/>
    </row>
    <row r="35" spans="1:8" ht="15.75" customHeight="1" x14ac:dyDescent="0.35">
      <c r="A35" s="64">
        <v>33</v>
      </c>
      <c r="B35" s="169">
        <v>2053</v>
      </c>
      <c r="C35" s="172"/>
      <c r="D35" s="172"/>
      <c r="F35" s="91"/>
      <c r="G35" s="91"/>
      <c r="H35" s="91"/>
    </row>
    <row r="36" spans="1:8" ht="15.75" customHeight="1" x14ac:dyDescent="0.35">
      <c r="A36" s="64">
        <v>34</v>
      </c>
      <c r="B36" s="169">
        <v>2054</v>
      </c>
      <c r="C36" s="172"/>
      <c r="D36" s="172"/>
      <c r="F36" s="91"/>
      <c r="G36" s="91"/>
      <c r="H36" s="91"/>
    </row>
    <row r="37" spans="1:8" ht="15.75" customHeight="1" thickBot="1" x14ac:dyDescent="0.4">
      <c r="A37" s="64">
        <v>35</v>
      </c>
      <c r="B37" s="169">
        <v>2055</v>
      </c>
      <c r="C37" s="172"/>
      <c r="D37" s="172"/>
      <c r="F37" s="91"/>
      <c r="G37" s="91"/>
      <c r="H37" s="91"/>
    </row>
    <row r="38" spans="1:8" ht="15.75" customHeight="1" thickBot="1" x14ac:dyDescent="0.4">
      <c r="A38" s="175"/>
      <c r="B38" s="175"/>
      <c r="C38" s="176"/>
      <c r="D38" s="177">
        <f>SUM(D2:D37)</f>
        <v>42219110.117632963</v>
      </c>
    </row>
  </sheetData>
  <pageMargins left="0.75" right="0.75" top="1" bottom="1" header="0.5" footer="0.5"/>
  <pageSetup orientation="portrait" horizontalDpi="4294967292" verticalDpi="4294967292"/>
  <headerFooter>
    <oddFooter>&amp;L&amp;"Helvetica,Regular"&amp;12&amp;K000000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IL47"/>
  <sheetViews>
    <sheetView showGridLines="0" workbookViewId="0"/>
  </sheetViews>
  <sheetFormatPr defaultColWidth="6.59765625" defaultRowHeight="15" customHeight="1" x14ac:dyDescent="0.3"/>
  <cols>
    <col min="1" max="1" width="3.86328125" style="1" customWidth="1"/>
    <col min="2" max="2" width="10.1328125" style="1" customWidth="1"/>
    <col min="3" max="3" width="11.59765625" style="1" customWidth="1"/>
    <col min="4" max="4" width="10.1328125" style="1" customWidth="1"/>
    <col min="5" max="5" width="6.59765625" style="1" customWidth="1"/>
    <col min="6" max="6" width="84.1328125" style="1" bestFit="1" customWidth="1"/>
    <col min="7" max="246" width="6.59765625" style="1" customWidth="1"/>
  </cols>
  <sheetData>
    <row r="1" spans="1:6" ht="15.75" customHeight="1" thickBot="1" x14ac:dyDescent="0.4">
      <c r="A1" s="199" t="s">
        <v>3</v>
      </c>
      <c r="B1" s="200" t="s">
        <v>4</v>
      </c>
      <c r="C1" s="203" t="s">
        <v>5</v>
      </c>
      <c r="D1" s="204" t="s">
        <v>6</v>
      </c>
    </row>
    <row r="2" spans="1:6" ht="90.75" customHeight="1" thickBot="1" x14ac:dyDescent="0.4">
      <c r="A2" s="3" t="s">
        <v>0</v>
      </c>
      <c r="B2" s="4" t="s">
        <v>1</v>
      </c>
      <c r="C2" s="2" t="s">
        <v>9</v>
      </c>
      <c r="D2" s="4" t="s">
        <v>2</v>
      </c>
    </row>
    <row r="3" spans="1:6" ht="17.5" customHeight="1" x14ac:dyDescent="0.35">
      <c r="A3" s="5">
        <v>0</v>
      </c>
      <c r="B3" s="12">
        <v>2020</v>
      </c>
      <c r="C3" s="13"/>
      <c r="D3" s="13"/>
    </row>
    <row r="4" spans="1:6" ht="17.5" customHeight="1" x14ac:dyDescent="0.35">
      <c r="A4" s="193">
        <v>1</v>
      </c>
      <c r="B4" s="16">
        <v>2021</v>
      </c>
      <c r="C4" s="16"/>
      <c r="D4" s="16"/>
    </row>
    <row r="5" spans="1:6" ht="17.5" customHeight="1" x14ac:dyDescent="0.35">
      <c r="A5" s="193">
        <v>2</v>
      </c>
      <c r="B5" s="16">
        <v>2022</v>
      </c>
      <c r="C5" s="16"/>
      <c r="D5" s="16"/>
    </row>
    <row r="6" spans="1:6" ht="17.5" customHeight="1" x14ac:dyDescent="0.35">
      <c r="A6" s="193">
        <v>3</v>
      </c>
      <c r="B6" s="12">
        <v>2023</v>
      </c>
      <c r="C6" s="16"/>
      <c r="D6" s="16"/>
    </row>
    <row r="7" spans="1:6" ht="17.5" customHeight="1" x14ac:dyDescent="0.35">
      <c r="A7" s="193">
        <v>4</v>
      </c>
      <c r="B7" s="16">
        <v>2024</v>
      </c>
      <c r="C7" s="16"/>
      <c r="D7" s="16"/>
    </row>
    <row r="8" spans="1:6" ht="17.5" customHeight="1" x14ac:dyDescent="0.35">
      <c r="A8" s="193">
        <v>5</v>
      </c>
      <c r="B8" s="16">
        <v>2025</v>
      </c>
      <c r="C8" s="16"/>
      <c r="D8" s="16"/>
    </row>
    <row r="9" spans="1:6" ht="17.25" customHeight="1" x14ac:dyDescent="0.35">
      <c r="A9" s="193">
        <v>6</v>
      </c>
      <c r="B9" s="12">
        <v>2026</v>
      </c>
      <c r="C9" s="17">
        <v>50000</v>
      </c>
      <c r="D9" s="17">
        <f t="shared" ref="D9:D34" si="0">C9/(1+0.07)^A9</f>
        <v>33317.111190825628</v>
      </c>
      <c r="F9" s="198" t="s">
        <v>148</v>
      </c>
    </row>
    <row r="10" spans="1:6" ht="17.25" customHeight="1" x14ac:dyDescent="0.35">
      <c r="A10" s="193">
        <v>7</v>
      </c>
      <c r="B10" s="16">
        <v>2027</v>
      </c>
      <c r="C10" s="17"/>
      <c r="D10" s="17"/>
      <c r="F10" s="197"/>
    </row>
    <row r="11" spans="1:6" ht="17.25" customHeight="1" x14ac:dyDescent="0.35">
      <c r="A11" s="193">
        <v>8</v>
      </c>
      <c r="B11" s="16">
        <v>2028</v>
      </c>
      <c r="C11" s="17"/>
      <c r="D11" s="17"/>
      <c r="F11" s="259" t="s">
        <v>149</v>
      </c>
    </row>
    <row r="12" spans="1:6" ht="17.25" customHeight="1" x14ac:dyDescent="0.35">
      <c r="A12" s="193">
        <v>9</v>
      </c>
      <c r="B12" s="12">
        <v>2029</v>
      </c>
      <c r="C12" s="17"/>
      <c r="D12" s="17"/>
      <c r="F12" s="259"/>
    </row>
    <row r="13" spans="1:6" ht="17.25" customHeight="1" x14ac:dyDescent="0.35">
      <c r="A13" s="193">
        <v>10</v>
      </c>
      <c r="B13" s="16">
        <v>2030</v>
      </c>
      <c r="C13" s="17"/>
      <c r="D13" s="17"/>
    </row>
    <row r="14" spans="1:6" ht="17.25" customHeight="1" x14ac:dyDescent="0.35">
      <c r="A14" s="193">
        <v>11</v>
      </c>
      <c r="B14" s="16">
        <v>2031</v>
      </c>
      <c r="C14" s="17">
        <v>50000</v>
      </c>
      <c r="D14" s="17">
        <f t="shared" si="0"/>
        <v>23754.639819379332</v>
      </c>
    </row>
    <row r="15" spans="1:6" ht="17.25" customHeight="1" x14ac:dyDescent="0.35">
      <c r="A15" s="193">
        <v>12</v>
      </c>
      <c r="B15" s="12">
        <v>2032</v>
      </c>
      <c r="C15" s="17"/>
      <c r="D15" s="17"/>
    </row>
    <row r="16" spans="1:6" ht="17.25" customHeight="1" x14ac:dyDescent="0.35">
      <c r="A16" s="193">
        <v>13</v>
      </c>
      <c r="B16" s="16">
        <v>2033</v>
      </c>
      <c r="C16" s="17"/>
      <c r="D16" s="17"/>
    </row>
    <row r="17" spans="1:4" ht="17.25" customHeight="1" x14ac:dyDescent="0.35">
      <c r="A17" s="193">
        <v>14</v>
      </c>
      <c r="B17" s="16">
        <v>2034</v>
      </c>
      <c r="C17" s="17"/>
      <c r="D17" s="17"/>
    </row>
    <row r="18" spans="1:4" ht="17.25" customHeight="1" x14ac:dyDescent="0.35">
      <c r="A18" s="193">
        <v>15</v>
      </c>
      <c r="B18" s="12">
        <v>2035</v>
      </c>
      <c r="C18" s="17"/>
      <c r="D18" s="17"/>
    </row>
    <row r="19" spans="1:4" ht="17.25" customHeight="1" x14ac:dyDescent="0.35">
      <c r="A19" s="193">
        <v>16</v>
      </c>
      <c r="B19" s="16">
        <v>2036</v>
      </c>
      <c r="C19" s="17">
        <v>50000</v>
      </c>
      <c r="D19" s="17">
        <f t="shared" si="0"/>
        <v>16936.729889829894</v>
      </c>
    </row>
    <row r="20" spans="1:4" ht="17.25" customHeight="1" x14ac:dyDescent="0.35">
      <c r="A20" s="193">
        <v>17</v>
      </c>
      <c r="B20" s="16">
        <v>2037</v>
      </c>
      <c r="C20" s="17"/>
      <c r="D20" s="17"/>
    </row>
    <row r="21" spans="1:4" ht="17.25" customHeight="1" x14ac:dyDescent="0.35">
      <c r="A21" s="193">
        <v>18</v>
      </c>
      <c r="B21" s="12">
        <v>2038</v>
      </c>
      <c r="C21" s="17"/>
      <c r="D21" s="17"/>
    </row>
    <row r="22" spans="1:4" ht="17.25" customHeight="1" x14ac:dyDescent="0.35">
      <c r="A22" s="193">
        <v>19</v>
      </c>
      <c r="B22" s="16">
        <v>2039</v>
      </c>
      <c r="C22" s="17"/>
      <c r="D22" s="17"/>
    </row>
    <row r="23" spans="1:4" ht="17.25" customHeight="1" x14ac:dyDescent="0.35">
      <c r="A23" s="193">
        <v>20</v>
      </c>
      <c r="B23" s="16">
        <v>2040</v>
      </c>
      <c r="C23" s="17"/>
      <c r="D23" s="17"/>
    </row>
    <row r="24" spans="1:4" ht="17.25" customHeight="1" x14ac:dyDescent="0.35">
      <c r="A24" s="193">
        <v>21</v>
      </c>
      <c r="B24" s="12">
        <v>2041</v>
      </c>
      <c r="C24" s="17">
        <v>75000</v>
      </c>
      <c r="D24" s="17">
        <f t="shared" si="0"/>
        <v>18113.481505645002</v>
      </c>
    </row>
    <row r="25" spans="1:4" ht="17.25" customHeight="1" x14ac:dyDescent="0.35">
      <c r="A25" s="193">
        <v>22</v>
      </c>
      <c r="B25" s="16">
        <v>2042</v>
      </c>
      <c r="C25" s="17"/>
      <c r="D25" s="17"/>
    </row>
    <row r="26" spans="1:4" ht="17.25" customHeight="1" x14ac:dyDescent="0.35">
      <c r="A26" s="193">
        <v>23</v>
      </c>
      <c r="B26" s="16">
        <v>2043</v>
      </c>
      <c r="C26" s="17"/>
      <c r="D26" s="17"/>
    </row>
    <row r="27" spans="1:4" ht="15.75" customHeight="1" x14ac:dyDescent="0.35">
      <c r="A27" s="193">
        <v>24</v>
      </c>
      <c r="B27" s="12">
        <v>2044</v>
      </c>
      <c r="C27" s="17"/>
      <c r="D27" s="17"/>
    </row>
    <row r="28" spans="1:4" ht="15.75" customHeight="1" x14ac:dyDescent="0.35">
      <c r="A28" s="193">
        <v>25</v>
      </c>
      <c r="B28" s="16">
        <v>2045</v>
      </c>
      <c r="C28" s="17"/>
      <c r="D28" s="17"/>
    </row>
    <row r="29" spans="1:4" ht="15.75" customHeight="1" x14ac:dyDescent="0.35">
      <c r="A29" s="193">
        <v>26</v>
      </c>
      <c r="B29" s="16">
        <v>2046</v>
      </c>
      <c r="C29" s="17">
        <v>75000</v>
      </c>
      <c r="D29" s="17">
        <f t="shared" si="0"/>
        <v>12914.661975857915</v>
      </c>
    </row>
    <row r="30" spans="1:4" ht="15.75" customHeight="1" x14ac:dyDescent="0.35">
      <c r="A30" s="193">
        <v>27</v>
      </c>
      <c r="B30" s="12">
        <v>2047</v>
      </c>
      <c r="C30" s="17"/>
      <c r="D30" s="17"/>
    </row>
    <row r="31" spans="1:4" ht="15.75" customHeight="1" x14ac:dyDescent="0.35">
      <c r="A31" s="193">
        <v>28</v>
      </c>
      <c r="B31" s="16">
        <v>2048</v>
      </c>
      <c r="C31" s="17"/>
      <c r="D31" s="17"/>
    </row>
    <row r="32" spans="1:4" ht="15.75" customHeight="1" x14ac:dyDescent="0.35">
      <c r="A32" s="193">
        <v>29</v>
      </c>
      <c r="B32" s="16">
        <v>2049</v>
      </c>
      <c r="C32" s="17"/>
      <c r="D32" s="17"/>
    </row>
    <row r="33" spans="1:4" ht="15.75" customHeight="1" x14ac:dyDescent="0.35">
      <c r="A33" s="193">
        <v>30</v>
      </c>
      <c r="B33" s="12">
        <v>2050</v>
      </c>
      <c r="C33" s="17"/>
      <c r="D33" s="17"/>
    </row>
    <row r="34" spans="1:4" ht="15.75" customHeight="1" x14ac:dyDescent="0.35">
      <c r="A34" s="193">
        <v>31</v>
      </c>
      <c r="B34" s="16">
        <v>2051</v>
      </c>
      <c r="C34" s="17">
        <v>75000</v>
      </c>
      <c r="D34" s="17">
        <f t="shared" si="0"/>
        <v>9207.9755014899383</v>
      </c>
    </row>
    <row r="35" spans="1:4" ht="15.75" customHeight="1" x14ac:dyDescent="0.35">
      <c r="A35" s="193">
        <v>32</v>
      </c>
      <c r="B35" s="16">
        <v>2052</v>
      </c>
      <c r="C35" s="17"/>
      <c r="D35" s="17"/>
    </row>
    <row r="36" spans="1:4" ht="15.75" customHeight="1" x14ac:dyDescent="0.35">
      <c r="A36" s="193">
        <v>33</v>
      </c>
      <c r="B36" s="12">
        <v>2053</v>
      </c>
      <c r="C36" s="17"/>
      <c r="D36" s="17"/>
    </row>
    <row r="37" spans="1:4" ht="15.75" customHeight="1" x14ac:dyDescent="0.35">
      <c r="A37" s="193">
        <v>34</v>
      </c>
      <c r="B37" s="16">
        <v>2054</v>
      </c>
      <c r="C37" s="17"/>
      <c r="D37" s="17"/>
    </row>
    <row r="38" spans="1:4" ht="15.75" customHeight="1" thickBot="1" x14ac:dyDescent="0.4">
      <c r="A38" s="225">
        <v>35</v>
      </c>
      <c r="B38" s="226">
        <v>2055</v>
      </c>
      <c r="C38" s="227"/>
      <c r="D38" s="227"/>
    </row>
    <row r="39" spans="1:4" ht="15.75" customHeight="1" thickBot="1" x14ac:dyDescent="0.4">
      <c r="A39" s="224"/>
      <c r="B39" s="10"/>
      <c r="C39" s="14"/>
      <c r="D39" s="15">
        <f>SUM(D3:D38)</f>
        <v>114244.59988302771</v>
      </c>
    </row>
    <row r="40" spans="1:4" ht="17.5" customHeight="1" x14ac:dyDescent="0.35">
      <c r="A40" s="7"/>
      <c r="B40" s="8" t="s">
        <v>2</v>
      </c>
      <c r="C40" s="11"/>
      <c r="D40" s="6"/>
    </row>
    <row r="42" spans="1:4" ht="15" customHeight="1" x14ac:dyDescent="0.3">
      <c r="A42" s="9"/>
      <c r="B42" s="257"/>
      <c r="C42" s="258"/>
      <c r="D42" s="258"/>
    </row>
    <row r="43" spans="1:4" ht="15" customHeight="1" x14ac:dyDescent="0.3">
      <c r="B43" s="258"/>
      <c r="C43" s="258"/>
      <c r="D43" s="258"/>
    </row>
    <row r="44" spans="1:4" ht="15" customHeight="1" x14ac:dyDescent="0.3">
      <c r="B44" s="258"/>
      <c r="C44" s="258"/>
      <c r="D44" s="258"/>
    </row>
    <row r="45" spans="1:4" ht="15" customHeight="1" x14ac:dyDescent="0.3">
      <c r="B45" s="258"/>
      <c r="C45" s="258"/>
      <c r="D45" s="258"/>
    </row>
    <row r="46" spans="1:4" ht="15" customHeight="1" x14ac:dyDescent="0.3">
      <c r="B46" s="258"/>
      <c r="C46" s="258"/>
      <c r="D46" s="258"/>
    </row>
    <row r="47" spans="1:4" ht="15" customHeight="1" x14ac:dyDescent="0.3">
      <c r="B47" s="258"/>
      <c r="C47" s="258"/>
      <c r="D47" s="258"/>
    </row>
  </sheetData>
  <mergeCells count="2">
    <mergeCell ref="B42:D47"/>
    <mergeCell ref="F11:F12"/>
  </mergeCells>
  <phoneticPr fontId="6" type="noConversion"/>
  <pageMargins left="0.75" right="0.75" top="1" bottom="1" header="0.5" footer="0.5"/>
  <pageSetup scale="42" orientation="portrait" horizontalDpi="4294967292" verticalDpi="4294967292" r:id="rId1"/>
  <headerFooter>
    <oddFooter>&amp;L&amp;"Helvetica,Regular"&amp;12&amp;K000000	&amp;P</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37D2E-4232-4502-9F4E-59A83527CC48}">
  <sheetPr>
    <tabColor rgb="FF00B050"/>
    <pageSetUpPr fitToPage="1"/>
  </sheetPr>
  <dimension ref="A1:IT282"/>
  <sheetViews>
    <sheetView showGridLines="0" zoomScale="80" zoomScaleNormal="80" workbookViewId="0">
      <pane xSplit="2" ySplit="2" topLeftCell="C3" activePane="bottomRight" state="frozen"/>
      <selection pane="topRight" activeCell="C1" sqref="C1"/>
      <selection pane="bottomLeft" activeCell="A3" sqref="A3"/>
      <selection pane="bottomRight"/>
    </sheetView>
  </sheetViews>
  <sheetFormatPr defaultColWidth="26.6640625" defaultRowHeight="15" customHeight="1" x14ac:dyDescent="0.3"/>
  <cols>
    <col min="1" max="1" width="5.3984375" style="58" customWidth="1"/>
    <col min="2" max="2" width="10.1328125" style="58" customWidth="1"/>
    <col min="3" max="3" width="10.6640625" style="58" customWidth="1"/>
    <col min="4" max="4" width="12.86328125" style="58" customWidth="1"/>
    <col min="5" max="5" width="13.59765625" style="58" customWidth="1"/>
    <col min="6" max="6" width="20.59765625" style="58" customWidth="1"/>
    <col min="7" max="7" width="25.1328125" style="58" customWidth="1"/>
    <col min="8" max="8" width="23.796875" style="58" customWidth="1"/>
    <col min="9" max="9" width="16" style="88" customWidth="1"/>
    <col min="10" max="10" width="18.265625" style="58" customWidth="1"/>
    <col min="11" max="11" width="19.796875" style="58" customWidth="1"/>
    <col min="12" max="12" width="18.9296875" style="58" customWidth="1"/>
    <col min="13" max="13" width="14.19921875" style="88" customWidth="1"/>
    <col min="14" max="14" width="14" style="90" customWidth="1"/>
    <col min="15" max="15" width="15.46484375" style="58" customWidth="1"/>
    <col min="16" max="16" width="17.06640625" style="58" bestFit="1" customWidth="1"/>
    <col min="17" max="17" width="13.6640625" style="58" customWidth="1"/>
    <col min="18" max="18" width="16.86328125" style="58" customWidth="1"/>
    <col min="19" max="19" width="15.06640625" style="58" bestFit="1" customWidth="1"/>
    <col min="20" max="20" width="18.19921875" style="58" customWidth="1"/>
    <col min="21" max="21" width="11.06640625" style="58" customWidth="1"/>
    <col min="22" max="254" width="26.6640625" style="58" customWidth="1"/>
    <col min="255" max="16384" width="26.6640625" style="91"/>
  </cols>
  <sheetData>
    <row r="1" spans="1:21" ht="15.75" customHeight="1" thickBot="1" x14ac:dyDescent="0.4">
      <c r="A1" s="51" t="s">
        <v>3</v>
      </c>
      <c r="B1" s="52" t="s">
        <v>4</v>
      </c>
      <c r="C1" s="53" t="s">
        <v>5</v>
      </c>
      <c r="D1" s="53" t="s">
        <v>6</v>
      </c>
      <c r="E1" s="53" t="s">
        <v>7</v>
      </c>
      <c r="F1" s="53" t="s">
        <v>8</v>
      </c>
      <c r="G1" s="53" t="s">
        <v>35</v>
      </c>
      <c r="H1" s="53" t="s">
        <v>36</v>
      </c>
      <c r="I1" s="54" t="s">
        <v>37</v>
      </c>
      <c r="J1" s="54" t="s">
        <v>38</v>
      </c>
      <c r="K1" s="53" t="s">
        <v>39</v>
      </c>
      <c r="L1" s="53" t="s">
        <v>40</v>
      </c>
      <c r="M1" s="54" t="s">
        <v>41</v>
      </c>
      <c r="N1" s="56" t="s">
        <v>42</v>
      </c>
      <c r="O1" s="53" t="s">
        <v>43</v>
      </c>
      <c r="P1" s="53" t="s">
        <v>44</v>
      </c>
      <c r="Q1" s="53" t="s">
        <v>45</v>
      </c>
      <c r="R1" s="53" t="s">
        <v>46</v>
      </c>
      <c r="S1" s="53" t="s">
        <v>47</v>
      </c>
      <c r="T1" s="53" t="s">
        <v>48</v>
      </c>
      <c r="U1" s="202" t="s">
        <v>49</v>
      </c>
    </row>
    <row r="2" spans="1:21" ht="207" customHeight="1" x14ac:dyDescent="0.35">
      <c r="A2" s="59" t="s">
        <v>50</v>
      </c>
      <c r="B2" s="182" t="s">
        <v>124</v>
      </c>
      <c r="C2" s="183" t="s">
        <v>122</v>
      </c>
      <c r="D2" s="183" t="s">
        <v>134</v>
      </c>
      <c r="E2" s="183" t="s">
        <v>135</v>
      </c>
      <c r="F2" s="184" t="s">
        <v>127</v>
      </c>
      <c r="G2" s="187" t="s">
        <v>184</v>
      </c>
      <c r="H2" s="187" t="s">
        <v>129</v>
      </c>
      <c r="I2" s="188" t="s">
        <v>151</v>
      </c>
      <c r="J2" s="184" t="s">
        <v>186</v>
      </c>
      <c r="K2" s="189" t="s">
        <v>185</v>
      </c>
      <c r="L2" s="190" t="s">
        <v>136</v>
      </c>
      <c r="M2" s="191" t="s">
        <v>131</v>
      </c>
      <c r="N2" s="62" t="s">
        <v>132</v>
      </c>
      <c r="O2" s="201" t="s">
        <v>150</v>
      </c>
      <c r="P2" s="61" t="s">
        <v>51</v>
      </c>
      <c r="Q2" s="192" t="s">
        <v>152</v>
      </c>
      <c r="R2" s="192" t="s">
        <v>153</v>
      </c>
      <c r="S2" s="192" t="s">
        <v>154</v>
      </c>
      <c r="T2" s="60" t="s">
        <v>187</v>
      </c>
      <c r="U2" s="63" t="s">
        <v>2</v>
      </c>
    </row>
    <row r="3" spans="1:21" ht="17.25" customHeight="1" x14ac:dyDescent="0.35">
      <c r="A3" s="64">
        <v>0</v>
      </c>
      <c r="B3" s="65">
        <v>2020</v>
      </c>
      <c r="C3" s="66"/>
      <c r="D3" s="66"/>
      <c r="E3" s="66"/>
      <c r="F3" s="67"/>
      <c r="G3" s="67"/>
      <c r="H3" s="67"/>
      <c r="I3" s="68"/>
      <c r="J3" s="69"/>
      <c r="K3" s="67"/>
      <c r="L3" s="66"/>
      <c r="M3" s="68"/>
      <c r="N3" s="68"/>
      <c r="O3" s="70"/>
      <c r="P3" s="67"/>
      <c r="Q3" s="69"/>
      <c r="R3" s="69"/>
      <c r="S3" s="69"/>
      <c r="T3" s="67"/>
      <c r="U3" s="67"/>
    </row>
    <row r="4" spans="1:21" ht="17.25" customHeight="1" x14ac:dyDescent="0.35">
      <c r="A4" s="64">
        <v>1</v>
      </c>
      <c r="B4" s="65">
        <v>2021</v>
      </c>
      <c r="C4" s="66"/>
      <c r="D4" s="66"/>
      <c r="E4" s="66"/>
      <c r="F4" s="67"/>
      <c r="G4" s="67"/>
      <c r="H4" s="67"/>
      <c r="I4" s="68"/>
      <c r="J4" s="69"/>
      <c r="K4" s="67"/>
      <c r="L4" s="66"/>
      <c r="M4" s="68"/>
      <c r="N4" s="68"/>
      <c r="O4" s="70"/>
      <c r="P4" s="67"/>
      <c r="Q4" s="69"/>
      <c r="R4" s="69"/>
      <c r="S4" s="69"/>
      <c r="T4" s="67"/>
      <c r="U4" s="67"/>
    </row>
    <row r="5" spans="1:21" ht="17.25" customHeight="1" x14ac:dyDescent="0.35">
      <c r="A5" s="64">
        <v>2</v>
      </c>
      <c r="B5" s="65">
        <v>2022</v>
      </c>
      <c r="C5" s="66"/>
      <c r="D5" s="66"/>
      <c r="E5" s="66"/>
      <c r="F5" s="67"/>
      <c r="G5" s="67"/>
      <c r="H5" s="67"/>
      <c r="I5" s="68"/>
      <c r="J5" s="69"/>
      <c r="K5" s="67"/>
      <c r="L5" s="66"/>
      <c r="M5" s="68"/>
      <c r="N5" s="68"/>
      <c r="O5" s="70"/>
      <c r="P5" s="67"/>
      <c r="Q5" s="69"/>
      <c r="R5" s="69"/>
      <c r="S5" s="69"/>
      <c r="T5" s="67"/>
      <c r="U5" s="67"/>
    </row>
    <row r="6" spans="1:21" ht="17.25" customHeight="1" x14ac:dyDescent="0.35">
      <c r="A6" s="64">
        <v>3</v>
      </c>
      <c r="B6" s="65">
        <v>2023</v>
      </c>
      <c r="C6" s="66"/>
      <c r="D6" s="66"/>
      <c r="E6" s="66"/>
      <c r="F6" s="67"/>
      <c r="G6" s="67"/>
      <c r="H6" s="67"/>
      <c r="I6" s="68"/>
      <c r="J6" s="69"/>
      <c r="K6" s="67"/>
      <c r="L6" s="66"/>
      <c r="M6" s="68"/>
      <c r="N6" s="68"/>
      <c r="O6" s="70"/>
      <c r="P6" s="67"/>
      <c r="Q6" s="69"/>
      <c r="R6" s="69"/>
      <c r="S6" s="69"/>
      <c r="T6" s="67"/>
      <c r="U6" s="67"/>
    </row>
    <row r="7" spans="1:21" ht="17.25" customHeight="1" x14ac:dyDescent="0.35">
      <c r="A7" s="64">
        <v>4</v>
      </c>
      <c r="B7" s="65">
        <v>2024</v>
      </c>
      <c r="C7" s="66"/>
      <c r="D7" s="66"/>
      <c r="E7" s="66"/>
      <c r="F7" s="67"/>
      <c r="G7" s="67"/>
      <c r="H7" s="67"/>
      <c r="I7" s="68"/>
      <c r="J7" s="69"/>
      <c r="K7" s="67"/>
      <c r="L7" s="66"/>
      <c r="M7" s="68"/>
      <c r="N7" s="68"/>
      <c r="O7" s="70"/>
      <c r="P7" s="67"/>
      <c r="Q7" s="69"/>
      <c r="R7" s="69"/>
      <c r="S7" s="69"/>
      <c r="T7" s="67"/>
      <c r="U7" s="67"/>
    </row>
    <row r="8" spans="1:21" ht="17.25" customHeight="1" x14ac:dyDescent="0.35">
      <c r="A8" s="64">
        <v>5</v>
      </c>
      <c r="B8" s="65">
        <v>2025</v>
      </c>
      <c r="C8" s="66"/>
      <c r="D8" s="66"/>
      <c r="E8" s="66"/>
      <c r="F8" s="67"/>
      <c r="G8" s="67"/>
      <c r="H8" s="67"/>
      <c r="I8" s="68"/>
      <c r="J8" s="69"/>
      <c r="K8" s="67"/>
      <c r="L8" s="66"/>
      <c r="M8" s="68"/>
      <c r="N8" s="68"/>
      <c r="O8" s="70"/>
      <c r="P8" s="67"/>
      <c r="Q8" s="69"/>
      <c r="R8" s="69"/>
      <c r="S8" s="69"/>
      <c r="T8" s="67"/>
      <c r="U8" s="67"/>
    </row>
    <row r="9" spans="1:21" ht="17.25" customHeight="1" x14ac:dyDescent="0.35">
      <c r="A9" s="64">
        <v>6</v>
      </c>
      <c r="B9" s="65">
        <v>2026</v>
      </c>
      <c r="C9" s="66">
        <f>'Inbound Carload Projections'!J4</f>
        <v>1308.5714285714287</v>
      </c>
      <c r="D9" s="66">
        <f>'Inbound Carload Projections'!O4</f>
        <v>81.35098253275109</v>
      </c>
      <c r="E9" s="66">
        <f>C9*D9*2*'Inbound Carload Projections'!$V$12</f>
        <v>532267.85714285716</v>
      </c>
      <c r="F9" s="67">
        <f>E9/100000000*11600000*1.46</f>
        <v>90144.884285714288</v>
      </c>
      <c r="G9" s="67">
        <f>E9/100000000*554800*0.047*5.66</f>
        <v>785.56293144142865</v>
      </c>
      <c r="H9" s="67">
        <f>E9/100000000*(14+3.95+1.46)*4500</f>
        <v>464.90935982142861</v>
      </c>
      <c r="I9" s="68">
        <f>E9*57/2</f>
        <v>15169633.928571429</v>
      </c>
      <c r="J9" s="69">
        <f t="shared" ref="J9:J38" si="0">I9*0.0066*1.1</f>
        <v>110131.54232142858</v>
      </c>
      <c r="K9" s="67">
        <f>I9*0.0085*1.1</f>
        <v>141836.07723214288</v>
      </c>
      <c r="L9" s="66">
        <f>C9*2*'Inbound Carload Projections'!$V$12</f>
        <v>6542.8571428571431</v>
      </c>
      <c r="M9" s="68">
        <f t="shared" ref="M9:M37" si="1">L9*4</f>
        <v>26171.428571428572</v>
      </c>
      <c r="N9" s="68">
        <f>E9/6.5</f>
        <v>81887.362637362647</v>
      </c>
      <c r="O9" s="70">
        <v>4.6500000000000004</v>
      </c>
      <c r="P9" s="67">
        <f t="shared" ref="P9:P37" si="2">O9*N9</f>
        <v>380776.23626373633</v>
      </c>
      <c r="Q9" s="69">
        <f>E9*9.191*0.00220462/2000*16200</f>
        <v>87359.827641050273</v>
      </c>
      <c r="R9" s="69">
        <f>E9*0.215*0.00220462/2000*788100</f>
        <v>99415.425417786697</v>
      </c>
      <c r="S9" s="69">
        <f>E9*0.097*0.00220462/2000*44000</f>
        <v>2504.1388070992857</v>
      </c>
      <c r="T9" s="67">
        <f>F9+G9+H9+J9+K9+P9+Q9+R9+S9</f>
        <v>913418.60426022136</v>
      </c>
      <c r="U9" s="67">
        <f>T9/(1+0.07)^A9</f>
        <v>608649.38403813087</v>
      </c>
    </row>
    <row r="10" spans="1:21" ht="17.25" customHeight="1" x14ac:dyDescent="0.35">
      <c r="A10" s="64">
        <v>7</v>
      </c>
      <c r="B10" s="65">
        <v>2027</v>
      </c>
      <c r="C10" s="66">
        <f>'Inbound Carload Projections'!J5</f>
        <v>4397.1428571428569</v>
      </c>
      <c r="D10" s="66">
        <f>'Inbound Carload Projections'!O5</f>
        <v>81.366959064327489</v>
      </c>
      <c r="E10" s="66">
        <f>C10*D10*2*'Inbound Carload Projections'!$V$12</f>
        <v>1788910.7142857141</v>
      </c>
      <c r="F10" s="67">
        <f t="shared" ref="F10:F38" si="3">E10/100000000*11600000*1.46</f>
        <v>302969.91857142851</v>
      </c>
      <c r="G10" s="67">
        <f t="shared" ref="G10:G37" si="4">E10/100000000*554800*0.047*5.66</f>
        <v>2640.2156845328568</v>
      </c>
      <c r="H10" s="67">
        <f t="shared" ref="H10:H38" si="5">E10/100000000*(14+3.95+1.46)*4500</f>
        <v>1562.524063392857</v>
      </c>
      <c r="I10" s="68">
        <f t="shared" ref="I10:I38" si="6">E10*57/2</f>
        <v>50983955.357142851</v>
      </c>
      <c r="J10" s="69">
        <f t="shared" si="0"/>
        <v>370143.5158928571</v>
      </c>
      <c r="K10" s="67">
        <f t="shared" ref="K10:K38" si="7">I10*0.0085*1.1</f>
        <v>476699.9825892857</v>
      </c>
      <c r="L10" s="66">
        <f>C10*2*'Inbound Carload Projections'!$V$12</f>
        <v>21985.714285714283</v>
      </c>
      <c r="M10" s="68">
        <f t="shared" si="1"/>
        <v>87942.85714285713</v>
      </c>
      <c r="N10" s="68">
        <f t="shared" ref="N10:N38" si="8">E10/6.5</f>
        <v>275217.03296703292</v>
      </c>
      <c r="O10" s="70">
        <f>O9</f>
        <v>4.6500000000000004</v>
      </c>
      <c r="P10" s="67">
        <f t="shared" si="2"/>
        <v>1279759.2032967033</v>
      </c>
      <c r="Q10" s="69">
        <f>E10*9.191*0.00220462/2000*16500</f>
        <v>299046.77470051317</v>
      </c>
      <c r="R10" s="69">
        <f>E10*0.215*0.00220462/2000*801700</f>
        <v>339893.41908679629</v>
      </c>
      <c r="S10" s="69">
        <f>E10*0.097*0.00220462/2000*44900</f>
        <v>8588.3648882678026</v>
      </c>
      <c r="T10" s="67">
        <f t="shared" ref="T10:T38" si="9">F10+G10+H10+J10+K10+P10+Q10+R10+S10</f>
        <v>3081303.9187737773</v>
      </c>
      <c r="U10" s="67">
        <f t="shared" ref="U10:U37" si="10">T10/(1+0.07)^A10</f>
        <v>1918881.2200843489</v>
      </c>
    </row>
    <row r="11" spans="1:21" ht="17.25" customHeight="1" x14ac:dyDescent="0.35">
      <c r="A11" s="64">
        <v>8</v>
      </c>
      <c r="B11" s="65">
        <v>2028</v>
      </c>
      <c r="C11" s="66">
        <f>'Inbound Carload Projections'!J6</f>
        <v>6491.4285714285716</v>
      </c>
      <c r="D11" s="66">
        <f>'Inbound Carload Projections'!O6</f>
        <v>81.37984154929579</v>
      </c>
      <c r="E11" s="66">
        <f>C11*D11*2*'Inbound Carload Projections'!$V$12</f>
        <v>2641357.1428571432</v>
      </c>
      <c r="F11" s="67">
        <f t="shared" si="3"/>
        <v>447340.24571428582</v>
      </c>
      <c r="G11" s="67">
        <f t="shared" si="4"/>
        <v>3898.3234329885727</v>
      </c>
      <c r="H11" s="67">
        <f t="shared" si="5"/>
        <v>2307.0933964285719</v>
      </c>
      <c r="I11" s="68">
        <f t="shared" si="6"/>
        <v>75278678.571428582</v>
      </c>
      <c r="J11" s="69">
        <f t="shared" si="0"/>
        <v>546523.20642857149</v>
      </c>
      <c r="K11" s="67">
        <f t="shared" si="7"/>
        <v>703855.64464285725</v>
      </c>
      <c r="L11" s="66">
        <f>C11*2*'Inbound Carload Projections'!$V$12</f>
        <v>32457.142857142859</v>
      </c>
      <c r="M11" s="68">
        <f t="shared" si="1"/>
        <v>129828.57142857143</v>
      </c>
      <c r="N11" s="68">
        <f t="shared" si="8"/>
        <v>406362.63736263744</v>
      </c>
      <c r="O11" s="70">
        <f t="shared" ref="O11:O38" si="11">O10</f>
        <v>4.6500000000000004</v>
      </c>
      <c r="P11" s="67">
        <f t="shared" si="2"/>
        <v>1889586.2637362643</v>
      </c>
      <c r="Q11" s="69">
        <f>E11*9.191*0.00220462/2000*16800</f>
        <v>449575.79617750808</v>
      </c>
      <c r="R11" s="69">
        <f>E11*0.215*0.00220462/2000*814500</f>
        <v>509871.13096607692</v>
      </c>
      <c r="S11" s="69">
        <f>E11*0.097*0.00220462/2000*45700</f>
        <v>12906.806780930072</v>
      </c>
      <c r="T11" s="67">
        <f t="shared" si="9"/>
        <v>4565864.5112759108</v>
      </c>
      <c r="U11" s="67">
        <f t="shared" si="10"/>
        <v>2657374.7157729799</v>
      </c>
    </row>
    <row r="12" spans="1:21" ht="17.25" customHeight="1" x14ac:dyDescent="0.35">
      <c r="A12" s="64">
        <v>9</v>
      </c>
      <c r="B12" s="65">
        <v>2029</v>
      </c>
      <c r="C12" s="66">
        <f>'Inbound Carload Projections'!J7</f>
        <v>7120</v>
      </c>
      <c r="D12" s="66">
        <f>'Inbound Carload Projections'!O7</f>
        <v>81.390449438202253</v>
      </c>
      <c r="E12" s="66">
        <f>C12*D12*2*'Inbound Carload Projections'!$V$12</f>
        <v>2897500</v>
      </c>
      <c r="F12" s="67">
        <f t="shared" si="3"/>
        <v>490720.6</v>
      </c>
      <c r="G12" s="67">
        <f t="shared" si="4"/>
        <v>4276.3592865999999</v>
      </c>
      <c r="H12" s="67">
        <f t="shared" si="5"/>
        <v>2530.821375</v>
      </c>
      <c r="I12" s="68">
        <f t="shared" si="6"/>
        <v>82578750</v>
      </c>
      <c r="J12" s="69">
        <f t="shared" si="0"/>
        <v>599521.72500000009</v>
      </c>
      <c r="K12" s="67">
        <f t="shared" si="7"/>
        <v>772111.31250000012</v>
      </c>
      <c r="L12" s="66">
        <f>C12*2*'Inbound Carload Projections'!$V$12</f>
        <v>35600</v>
      </c>
      <c r="M12" s="68">
        <f t="shared" si="1"/>
        <v>142400</v>
      </c>
      <c r="N12" s="68">
        <f t="shared" si="8"/>
        <v>445769.23076923075</v>
      </c>
      <c r="O12" s="70">
        <f t="shared" si="11"/>
        <v>4.6500000000000004</v>
      </c>
      <c r="P12" s="67">
        <f t="shared" si="2"/>
        <v>2072826.9230769232</v>
      </c>
      <c r="Q12" s="69">
        <f>E12*9.191*0.00220462/2000*17100</f>
        <v>501979.60029467259</v>
      </c>
      <c r="R12" s="69">
        <f>E12*0.215*0.00220462/2000*827400</f>
        <v>568173.754238475</v>
      </c>
      <c r="S12" s="69">
        <f>E12*0.097*0.00220462/2000*46500</f>
        <v>14406.280916362501</v>
      </c>
      <c r="T12" s="67">
        <f t="shared" si="9"/>
        <v>5026547.3766880333</v>
      </c>
      <c r="U12" s="67">
        <f t="shared" si="10"/>
        <v>2734108.726878453</v>
      </c>
    </row>
    <row r="13" spans="1:21" ht="17.25" customHeight="1" x14ac:dyDescent="0.35">
      <c r="A13" s="64">
        <v>10</v>
      </c>
      <c r="B13" s="65">
        <v>2030</v>
      </c>
      <c r="C13" s="66">
        <f>'Inbound Carload Projections'!J8</f>
        <v>7748.5714285714275</v>
      </c>
      <c r="D13" s="66">
        <f>'Inbound Carload Projections'!O8</f>
        <v>81.399336283185846</v>
      </c>
      <c r="E13" s="66">
        <f>C13*D13*2*'Inbound Carload Projections'!$V$12</f>
        <v>3153642.8571428568</v>
      </c>
      <c r="F13" s="67">
        <f t="shared" si="3"/>
        <v>534100.95428571431</v>
      </c>
      <c r="G13" s="67">
        <f t="shared" si="4"/>
        <v>4654.395140211428</v>
      </c>
      <c r="H13" s="67">
        <f t="shared" si="5"/>
        <v>2754.5493535714286</v>
      </c>
      <c r="I13" s="68">
        <f t="shared" si="6"/>
        <v>89878821.428571418</v>
      </c>
      <c r="J13" s="69">
        <f t="shared" si="0"/>
        <v>652520.24357142858</v>
      </c>
      <c r="K13" s="67">
        <f t="shared" si="7"/>
        <v>840366.98035714298</v>
      </c>
      <c r="L13" s="66">
        <f>C13*2*'Inbound Carload Projections'!$V$12</f>
        <v>38742.857142857138</v>
      </c>
      <c r="M13" s="68">
        <f t="shared" si="1"/>
        <v>154971.42857142855</v>
      </c>
      <c r="N13" s="68">
        <f t="shared" si="8"/>
        <v>485175.82417582412</v>
      </c>
      <c r="O13" s="70">
        <f t="shared" si="11"/>
        <v>4.6500000000000004</v>
      </c>
      <c r="P13" s="67">
        <f t="shared" si="2"/>
        <v>2256067.5824175822</v>
      </c>
      <c r="Q13" s="69">
        <f>E13*9.191*0.00220462/2000*17400</f>
        <v>555940.44528551097</v>
      </c>
      <c r="R13" s="69">
        <f>E13*0.215*0.00220462/2000*840600</f>
        <v>628266.78732446337</v>
      </c>
      <c r="S13" s="69">
        <f>E13*0.097*0.00220462/2000*47300</f>
        <v>15949.575590654355</v>
      </c>
      <c r="T13" s="67">
        <f t="shared" si="9"/>
        <v>5490621.5133262789</v>
      </c>
      <c r="U13" s="67">
        <f t="shared" si="10"/>
        <v>2791153.5596790668</v>
      </c>
    </row>
    <row r="14" spans="1:21" ht="17.25" customHeight="1" x14ac:dyDescent="0.35">
      <c r="A14" s="64">
        <v>11</v>
      </c>
      <c r="B14" s="65">
        <v>2031</v>
      </c>
      <c r="C14" s="66">
        <f>'Inbound Carload Projections'!J9</f>
        <v>8377.1428571428569</v>
      </c>
      <c r="D14" s="66">
        <f>'Inbound Carload Projections'!O9</f>
        <v>81.406889495225101</v>
      </c>
      <c r="E14" s="66">
        <f>C14*D14*2*'Inbound Carload Projections'!$V$12</f>
        <v>3409785.7142857141</v>
      </c>
      <c r="F14" s="67">
        <f t="shared" si="3"/>
        <v>577481.30857142841</v>
      </c>
      <c r="G14" s="67">
        <f t="shared" si="4"/>
        <v>5032.4309938228562</v>
      </c>
      <c r="H14" s="67">
        <f t="shared" si="5"/>
        <v>2978.2773321428567</v>
      </c>
      <c r="I14" s="68">
        <f t="shared" si="6"/>
        <v>97178892.857142851</v>
      </c>
      <c r="J14" s="69">
        <f t="shared" si="0"/>
        <v>705518.76214285707</v>
      </c>
      <c r="K14" s="67">
        <f t="shared" si="7"/>
        <v>908622.64821428584</v>
      </c>
      <c r="L14" s="66">
        <f>C14*2*'Inbound Carload Projections'!$V$12</f>
        <v>41885.714285714283</v>
      </c>
      <c r="M14" s="68">
        <f t="shared" si="1"/>
        <v>167542.85714285713</v>
      </c>
      <c r="N14" s="68">
        <f t="shared" si="8"/>
        <v>524582.41758241761</v>
      </c>
      <c r="O14" s="70">
        <f t="shared" si="11"/>
        <v>4.6500000000000004</v>
      </c>
      <c r="P14" s="67">
        <f t="shared" si="2"/>
        <v>2439308.2417582422</v>
      </c>
      <c r="Q14" s="69">
        <f>E14*9.191*0.00220462/2000*17700</f>
        <v>611458.3311500235</v>
      </c>
      <c r="R14" s="69">
        <f>E14*0.215*0.00220462/2000*854000</f>
        <v>690124.0539440501</v>
      </c>
      <c r="S14" s="69">
        <f>E14*0.097*0.00220462/2000*48200</f>
        <v>17573.149620445573</v>
      </c>
      <c r="T14" s="67">
        <f t="shared" si="9"/>
        <v>5958097.2037272984</v>
      </c>
      <c r="U14" s="67">
        <f t="shared" si="10"/>
        <v>2830649.0616678628</v>
      </c>
    </row>
    <row r="15" spans="1:21" ht="17.25" customHeight="1" x14ac:dyDescent="0.35">
      <c r="A15" s="64">
        <v>12</v>
      </c>
      <c r="B15" s="65">
        <v>2032</v>
      </c>
      <c r="C15" s="66">
        <f>'Inbound Carload Projections'!J10</f>
        <v>8377.1428571428569</v>
      </c>
      <c r="D15" s="66">
        <f>'Inbound Carload Projections'!O10</f>
        <v>81.406889495225101</v>
      </c>
      <c r="E15" s="66">
        <f>C15*D15*2*'Inbound Carload Projections'!$V$12</f>
        <v>3409785.7142857141</v>
      </c>
      <c r="F15" s="67">
        <f t="shared" si="3"/>
        <v>577481.30857142841</v>
      </c>
      <c r="G15" s="67">
        <f t="shared" si="4"/>
        <v>5032.4309938228562</v>
      </c>
      <c r="H15" s="67">
        <f t="shared" si="5"/>
        <v>2978.2773321428567</v>
      </c>
      <c r="I15" s="68">
        <f t="shared" si="6"/>
        <v>97178892.857142851</v>
      </c>
      <c r="J15" s="69">
        <f t="shared" si="0"/>
        <v>705518.76214285707</v>
      </c>
      <c r="K15" s="67">
        <f t="shared" si="7"/>
        <v>908622.64821428584</v>
      </c>
      <c r="L15" s="66">
        <f>C15*2*'Inbound Carload Projections'!$V$12</f>
        <v>41885.714285714283</v>
      </c>
      <c r="M15" s="68">
        <f t="shared" si="1"/>
        <v>167542.85714285713</v>
      </c>
      <c r="N15" s="68">
        <f t="shared" si="8"/>
        <v>524582.41758241761</v>
      </c>
      <c r="O15" s="70">
        <f t="shared" si="11"/>
        <v>4.6500000000000004</v>
      </c>
      <c r="P15" s="67">
        <f t="shared" si="2"/>
        <v>2439308.2417582422</v>
      </c>
      <c r="Q15" s="69">
        <f>E15*9.191*0.00220462/2000*18100</f>
        <v>625276.59852064541</v>
      </c>
      <c r="R15" s="69">
        <f>E15*0.215*0.00220462/2000*867600</f>
        <v>701114.31990849867</v>
      </c>
      <c r="S15" s="69">
        <f>E15*0.097*0.00220462/2000*49100</f>
        <v>17901.278970204927</v>
      </c>
      <c r="T15" s="67">
        <f t="shared" si="9"/>
        <v>5983233.8664121293</v>
      </c>
      <c r="U15" s="67">
        <f t="shared" si="10"/>
        <v>2656627.3916211692</v>
      </c>
    </row>
    <row r="16" spans="1:21" ht="17.25" customHeight="1" x14ac:dyDescent="0.35">
      <c r="A16" s="64">
        <v>13</v>
      </c>
      <c r="B16" s="65">
        <v>2033</v>
      </c>
      <c r="C16" s="66">
        <f>'Inbound Carload Projections'!J11</f>
        <v>8377.1428571428569</v>
      </c>
      <c r="D16" s="66">
        <f>'Inbound Carload Projections'!O11</f>
        <v>81.406889495225101</v>
      </c>
      <c r="E16" s="66">
        <f>C16*D16*2*'Inbound Carload Projections'!$V$12</f>
        <v>3409785.7142857141</v>
      </c>
      <c r="F16" s="67">
        <f t="shared" si="3"/>
        <v>577481.30857142841</v>
      </c>
      <c r="G16" s="67">
        <f t="shared" si="4"/>
        <v>5032.4309938228562</v>
      </c>
      <c r="H16" s="67">
        <f t="shared" si="5"/>
        <v>2978.2773321428567</v>
      </c>
      <c r="I16" s="68">
        <f t="shared" si="6"/>
        <v>97178892.857142851</v>
      </c>
      <c r="J16" s="69">
        <f t="shared" si="0"/>
        <v>705518.76214285707</v>
      </c>
      <c r="K16" s="67">
        <f t="shared" si="7"/>
        <v>908622.64821428584</v>
      </c>
      <c r="L16" s="66">
        <f>C16*2*'Inbound Carload Projections'!$V$12</f>
        <v>41885.714285714283</v>
      </c>
      <c r="M16" s="68">
        <f t="shared" si="1"/>
        <v>167542.85714285713</v>
      </c>
      <c r="N16" s="68">
        <f t="shared" si="8"/>
        <v>524582.41758241761</v>
      </c>
      <c r="O16" s="70">
        <f t="shared" si="11"/>
        <v>4.6500000000000004</v>
      </c>
      <c r="P16" s="67">
        <f t="shared" si="2"/>
        <v>2439308.2417582422</v>
      </c>
      <c r="Q16" s="69">
        <f t="shared" ref="Q16:Q37" si="12">E16*9.191*0.00220462/2000*18100</f>
        <v>625276.59852064541</v>
      </c>
      <c r="R16" s="69">
        <f t="shared" ref="R16:R37" si="13">E16*0.215*0.00220462/2000*867600</f>
        <v>701114.31990849867</v>
      </c>
      <c r="S16" s="69">
        <f t="shared" ref="S16:S37" si="14">E16*0.097*0.00220462/2000*49100</f>
        <v>17901.278970204927</v>
      </c>
      <c r="T16" s="67">
        <f t="shared" si="9"/>
        <v>5983233.8664121293</v>
      </c>
      <c r="U16" s="67">
        <f t="shared" si="10"/>
        <v>2482829.3379637096</v>
      </c>
    </row>
    <row r="17" spans="1:21" ht="17.25" customHeight="1" x14ac:dyDescent="0.35">
      <c r="A17" s="64">
        <v>14</v>
      </c>
      <c r="B17" s="65">
        <v>2034</v>
      </c>
      <c r="C17" s="66">
        <f>'Inbound Carload Projections'!J12</f>
        <v>8377.1428571428569</v>
      </c>
      <c r="D17" s="66">
        <f>'Inbound Carload Projections'!O12</f>
        <v>81.406889495225101</v>
      </c>
      <c r="E17" s="66">
        <f>C17*D17*2*'Inbound Carload Projections'!$V$12</f>
        <v>3409785.7142857141</v>
      </c>
      <c r="F17" s="67">
        <f t="shared" si="3"/>
        <v>577481.30857142841</v>
      </c>
      <c r="G17" s="67">
        <f t="shared" si="4"/>
        <v>5032.4309938228562</v>
      </c>
      <c r="H17" s="67">
        <f t="shared" si="5"/>
        <v>2978.2773321428567</v>
      </c>
      <c r="I17" s="68">
        <f t="shared" si="6"/>
        <v>97178892.857142851</v>
      </c>
      <c r="J17" s="69">
        <f t="shared" si="0"/>
        <v>705518.76214285707</v>
      </c>
      <c r="K17" s="67">
        <f t="shared" si="7"/>
        <v>908622.64821428584</v>
      </c>
      <c r="L17" s="66">
        <f>C17*2*'Inbound Carload Projections'!$V$12</f>
        <v>41885.714285714283</v>
      </c>
      <c r="M17" s="68">
        <f t="shared" si="1"/>
        <v>167542.85714285713</v>
      </c>
      <c r="N17" s="68">
        <f t="shared" si="8"/>
        <v>524582.41758241761</v>
      </c>
      <c r="O17" s="70">
        <f t="shared" si="11"/>
        <v>4.6500000000000004</v>
      </c>
      <c r="P17" s="67">
        <f t="shared" si="2"/>
        <v>2439308.2417582422</v>
      </c>
      <c r="Q17" s="69">
        <f t="shared" si="12"/>
        <v>625276.59852064541</v>
      </c>
      <c r="R17" s="69">
        <f t="shared" si="13"/>
        <v>701114.31990849867</v>
      </c>
      <c r="S17" s="69">
        <f t="shared" si="14"/>
        <v>17901.278970204927</v>
      </c>
      <c r="T17" s="67">
        <f t="shared" si="9"/>
        <v>5983233.8664121293</v>
      </c>
      <c r="U17" s="67">
        <f t="shared" si="10"/>
        <v>2320401.2504333733</v>
      </c>
    </row>
    <row r="18" spans="1:21" ht="17.25" customHeight="1" x14ac:dyDescent="0.35">
      <c r="A18" s="64">
        <v>15</v>
      </c>
      <c r="B18" s="65">
        <v>2035</v>
      </c>
      <c r="C18" s="66">
        <f>'Inbound Carload Projections'!J13</f>
        <v>8377.1428571428569</v>
      </c>
      <c r="D18" s="66">
        <f>'Inbound Carload Projections'!O13</f>
        <v>81.406889495225101</v>
      </c>
      <c r="E18" s="66">
        <f>C18*D18*2*'Inbound Carload Projections'!$V$12</f>
        <v>3409785.7142857141</v>
      </c>
      <c r="F18" s="67">
        <f t="shared" si="3"/>
        <v>577481.30857142841</v>
      </c>
      <c r="G18" s="67">
        <f t="shared" si="4"/>
        <v>5032.4309938228562</v>
      </c>
      <c r="H18" s="67">
        <f t="shared" si="5"/>
        <v>2978.2773321428567</v>
      </c>
      <c r="I18" s="68">
        <f t="shared" si="6"/>
        <v>97178892.857142851</v>
      </c>
      <c r="J18" s="69">
        <f t="shared" si="0"/>
        <v>705518.76214285707</v>
      </c>
      <c r="K18" s="67">
        <f t="shared" si="7"/>
        <v>908622.64821428584</v>
      </c>
      <c r="L18" s="66">
        <f>C18*2*'Inbound Carload Projections'!$V$12</f>
        <v>41885.714285714283</v>
      </c>
      <c r="M18" s="68">
        <f t="shared" si="1"/>
        <v>167542.85714285713</v>
      </c>
      <c r="N18" s="68">
        <f t="shared" si="8"/>
        <v>524582.41758241761</v>
      </c>
      <c r="O18" s="70">
        <f t="shared" si="11"/>
        <v>4.6500000000000004</v>
      </c>
      <c r="P18" s="67">
        <f t="shared" si="2"/>
        <v>2439308.2417582422</v>
      </c>
      <c r="Q18" s="69">
        <f t="shared" si="12"/>
        <v>625276.59852064541</v>
      </c>
      <c r="R18" s="69">
        <f t="shared" si="13"/>
        <v>701114.31990849867</v>
      </c>
      <c r="S18" s="69">
        <f t="shared" si="14"/>
        <v>17901.278970204927</v>
      </c>
      <c r="T18" s="67">
        <f t="shared" si="9"/>
        <v>5983233.8664121293</v>
      </c>
      <c r="U18" s="67">
        <f t="shared" si="10"/>
        <v>2168599.2994704423</v>
      </c>
    </row>
    <row r="19" spans="1:21" ht="17.25" customHeight="1" x14ac:dyDescent="0.35">
      <c r="A19" s="64">
        <v>16</v>
      </c>
      <c r="B19" s="65">
        <v>2036</v>
      </c>
      <c r="C19" s="66">
        <f>'Inbound Carload Projections'!J14</f>
        <v>8377.1428571428569</v>
      </c>
      <c r="D19" s="66">
        <f>'Inbound Carload Projections'!O14</f>
        <v>81.406889495225101</v>
      </c>
      <c r="E19" s="66">
        <f>C19*D19*2*'Inbound Carload Projections'!$V$12</f>
        <v>3409785.7142857141</v>
      </c>
      <c r="F19" s="67">
        <f t="shared" si="3"/>
        <v>577481.30857142841</v>
      </c>
      <c r="G19" s="67">
        <f t="shared" si="4"/>
        <v>5032.4309938228562</v>
      </c>
      <c r="H19" s="67">
        <f t="shared" si="5"/>
        <v>2978.2773321428567</v>
      </c>
      <c r="I19" s="68">
        <f t="shared" si="6"/>
        <v>97178892.857142851</v>
      </c>
      <c r="J19" s="69">
        <f t="shared" si="0"/>
        <v>705518.76214285707</v>
      </c>
      <c r="K19" s="67">
        <f t="shared" si="7"/>
        <v>908622.64821428584</v>
      </c>
      <c r="L19" s="66">
        <f>C19*2*'Inbound Carload Projections'!$V$12</f>
        <v>41885.714285714283</v>
      </c>
      <c r="M19" s="68">
        <f t="shared" si="1"/>
        <v>167542.85714285713</v>
      </c>
      <c r="N19" s="68">
        <f t="shared" si="8"/>
        <v>524582.41758241761</v>
      </c>
      <c r="O19" s="70">
        <f t="shared" si="11"/>
        <v>4.6500000000000004</v>
      </c>
      <c r="P19" s="67">
        <f t="shared" si="2"/>
        <v>2439308.2417582422</v>
      </c>
      <c r="Q19" s="69">
        <f t="shared" si="12"/>
        <v>625276.59852064541</v>
      </c>
      <c r="R19" s="69">
        <f t="shared" si="13"/>
        <v>701114.31990849867</v>
      </c>
      <c r="S19" s="69">
        <f t="shared" si="14"/>
        <v>17901.278970204927</v>
      </c>
      <c r="T19" s="67">
        <f t="shared" si="9"/>
        <v>5983233.8664121293</v>
      </c>
      <c r="U19" s="67">
        <f t="shared" si="10"/>
        <v>2026728.3172620959</v>
      </c>
    </row>
    <row r="20" spans="1:21" ht="17.25" customHeight="1" x14ac:dyDescent="0.35">
      <c r="A20" s="64">
        <v>17</v>
      </c>
      <c r="B20" s="65">
        <v>2037</v>
      </c>
      <c r="C20" s="66">
        <f>'Inbound Carload Projections'!J15</f>
        <v>8377.1428571428569</v>
      </c>
      <c r="D20" s="66">
        <f>'Inbound Carload Projections'!O15</f>
        <v>81.406889495225101</v>
      </c>
      <c r="E20" s="66">
        <f>C20*D20*2*'Inbound Carload Projections'!$V$12</f>
        <v>3409785.7142857141</v>
      </c>
      <c r="F20" s="67">
        <f t="shared" si="3"/>
        <v>577481.30857142841</v>
      </c>
      <c r="G20" s="67">
        <f t="shared" si="4"/>
        <v>5032.4309938228562</v>
      </c>
      <c r="H20" s="67">
        <f t="shared" si="5"/>
        <v>2978.2773321428567</v>
      </c>
      <c r="I20" s="68">
        <f t="shared" si="6"/>
        <v>97178892.857142851</v>
      </c>
      <c r="J20" s="69">
        <f t="shared" si="0"/>
        <v>705518.76214285707</v>
      </c>
      <c r="K20" s="67">
        <f t="shared" si="7"/>
        <v>908622.64821428584</v>
      </c>
      <c r="L20" s="66">
        <f>C20*2*'Inbound Carload Projections'!$V$12</f>
        <v>41885.714285714283</v>
      </c>
      <c r="M20" s="68">
        <f t="shared" si="1"/>
        <v>167542.85714285713</v>
      </c>
      <c r="N20" s="68">
        <f t="shared" si="8"/>
        <v>524582.41758241761</v>
      </c>
      <c r="O20" s="70">
        <f t="shared" si="11"/>
        <v>4.6500000000000004</v>
      </c>
      <c r="P20" s="67">
        <f t="shared" si="2"/>
        <v>2439308.2417582422</v>
      </c>
      <c r="Q20" s="69">
        <f t="shared" si="12"/>
        <v>625276.59852064541</v>
      </c>
      <c r="R20" s="69">
        <f t="shared" si="13"/>
        <v>701114.31990849867</v>
      </c>
      <c r="S20" s="69">
        <f t="shared" si="14"/>
        <v>17901.278970204927</v>
      </c>
      <c r="T20" s="67">
        <f t="shared" si="9"/>
        <v>5983233.8664121293</v>
      </c>
      <c r="U20" s="67">
        <f t="shared" si="10"/>
        <v>1894138.6142636409</v>
      </c>
    </row>
    <row r="21" spans="1:21" ht="17.25" customHeight="1" x14ac:dyDescent="0.35">
      <c r="A21" s="64">
        <v>18</v>
      </c>
      <c r="B21" s="65">
        <v>2038</v>
      </c>
      <c r="C21" s="66">
        <f>'Inbound Carload Projections'!J16</f>
        <v>8377.1428571428569</v>
      </c>
      <c r="D21" s="66">
        <f>'Inbound Carload Projections'!O16</f>
        <v>81.406889495225101</v>
      </c>
      <c r="E21" s="66">
        <f>C21*D21*2*'Inbound Carload Projections'!$V$12</f>
        <v>3409785.7142857141</v>
      </c>
      <c r="F21" s="67">
        <f t="shared" si="3"/>
        <v>577481.30857142841</v>
      </c>
      <c r="G21" s="67">
        <f t="shared" si="4"/>
        <v>5032.4309938228562</v>
      </c>
      <c r="H21" s="67">
        <f t="shared" si="5"/>
        <v>2978.2773321428567</v>
      </c>
      <c r="I21" s="68">
        <f t="shared" si="6"/>
        <v>97178892.857142851</v>
      </c>
      <c r="J21" s="69">
        <f t="shared" si="0"/>
        <v>705518.76214285707</v>
      </c>
      <c r="K21" s="67">
        <f t="shared" si="7"/>
        <v>908622.64821428584</v>
      </c>
      <c r="L21" s="66">
        <f>C21*2*'Inbound Carload Projections'!$V$12</f>
        <v>41885.714285714283</v>
      </c>
      <c r="M21" s="68">
        <f t="shared" si="1"/>
        <v>167542.85714285713</v>
      </c>
      <c r="N21" s="68">
        <f t="shared" si="8"/>
        <v>524582.41758241761</v>
      </c>
      <c r="O21" s="70">
        <f t="shared" si="11"/>
        <v>4.6500000000000004</v>
      </c>
      <c r="P21" s="67">
        <f t="shared" si="2"/>
        <v>2439308.2417582422</v>
      </c>
      <c r="Q21" s="69">
        <f t="shared" si="12"/>
        <v>625276.59852064541</v>
      </c>
      <c r="R21" s="69">
        <f t="shared" si="13"/>
        <v>701114.31990849867</v>
      </c>
      <c r="S21" s="69">
        <f t="shared" si="14"/>
        <v>17901.278970204927</v>
      </c>
      <c r="T21" s="67">
        <f t="shared" si="9"/>
        <v>5983233.8664121293</v>
      </c>
      <c r="U21" s="67">
        <f t="shared" si="10"/>
        <v>1770223.0039847111</v>
      </c>
    </row>
    <row r="22" spans="1:21" ht="17.25" customHeight="1" x14ac:dyDescent="0.35">
      <c r="A22" s="64">
        <v>19</v>
      </c>
      <c r="B22" s="65">
        <v>2039</v>
      </c>
      <c r="C22" s="66">
        <f>'Inbound Carload Projections'!J17</f>
        <v>8377.1428571428569</v>
      </c>
      <c r="D22" s="66">
        <f>'Inbound Carload Projections'!O17</f>
        <v>81.406889495225101</v>
      </c>
      <c r="E22" s="66">
        <f>C22*D22*2*'Inbound Carload Projections'!$V$12</f>
        <v>3409785.7142857141</v>
      </c>
      <c r="F22" s="67">
        <f t="shared" si="3"/>
        <v>577481.30857142841</v>
      </c>
      <c r="G22" s="67">
        <f t="shared" si="4"/>
        <v>5032.4309938228562</v>
      </c>
      <c r="H22" s="67">
        <f t="shared" si="5"/>
        <v>2978.2773321428567</v>
      </c>
      <c r="I22" s="68">
        <f t="shared" si="6"/>
        <v>97178892.857142851</v>
      </c>
      <c r="J22" s="69">
        <f t="shared" si="0"/>
        <v>705518.76214285707</v>
      </c>
      <c r="K22" s="67">
        <f t="shared" si="7"/>
        <v>908622.64821428584</v>
      </c>
      <c r="L22" s="66">
        <f>C22*2*'Inbound Carload Projections'!$V$12</f>
        <v>41885.714285714283</v>
      </c>
      <c r="M22" s="68">
        <f t="shared" si="1"/>
        <v>167542.85714285713</v>
      </c>
      <c r="N22" s="68">
        <f t="shared" si="8"/>
        <v>524582.41758241761</v>
      </c>
      <c r="O22" s="70">
        <f t="shared" si="11"/>
        <v>4.6500000000000004</v>
      </c>
      <c r="P22" s="67">
        <f t="shared" si="2"/>
        <v>2439308.2417582422</v>
      </c>
      <c r="Q22" s="69">
        <f t="shared" si="12"/>
        <v>625276.59852064541</v>
      </c>
      <c r="R22" s="69">
        <f t="shared" si="13"/>
        <v>701114.31990849867</v>
      </c>
      <c r="S22" s="69">
        <f t="shared" si="14"/>
        <v>17901.278970204927</v>
      </c>
      <c r="T22" s="67">
        <f t="shared" si="9"/>
        <v>5983233.8664121293</v>
      </c>
      <c r="U22" s="67">
        <f t="shared" si="10"/>
        <v>1654414.0224156177</v>
      </c>
    </row>
    <row r="23" spans="1:21" ht="17.25" customHeight="1" x14ac:dyDescent="0.35">
      <c r="A23" s="64">
        <v>20</v>
      </c>
      <c r="B23" s="65">
        <v>2040</v>
      </c>
      <c r="C23" s="66">
        <f>'Inbound Carload Projections'!J18</f>
        <v>8377.1428571428569</v>
      </c>
      <c r="D23" s="66">
        <f>'Inbound Carload Projections'!O18</f>
        <v>81.406889495225101</v>
      </c>
      <c r="E23" s="66">
        <f>C23*D23*2*'Inbound Carload Projections'!$V$12</f>
        <v>3409785.7142857141</v>
      </c>
      <c r="F23" s="67">
        <f t="shared" si="3"/>
        <v>577481.30857142841</v>
      </c>
      <c r="G23" s="67">
        <f t="shared" si="4"/>
        <v>5032.4309938228562</v>
      </c>
      <c r="H23" s="67">
        <f t="shared" si="5"/>
        <v>2978.2773321428567</v>
      </c>
      <c r="I23" s="68">
        <f t="shared" si="6"/>
        <v>97178892.857142851</v>
      </c>
      <c r="J23" s="69">
        <f t="shared" si="0"/>
        <v>705518.76214285707</v>
      </c>
      <c r="K23" s="67">
        <f t="shared" si="7"/>
        <v>908622.64821428584</v>
      </c>
      <c r="L23" s="66">
        <f>C23*2*'Inbound Carload Projections'!$V$12</f>
        <v>41885.714285714283</v>
      </c>
      <c r="M23" s="68">
        <f t="shared" si="1"/>
        <v>167542.85714285713</v>
      </c>
      <c r="N23" s="68">
        <f t="shared" si="8"/>
        <v>524582.41758241761</v>
      </c>
      <c r="O23" s="70">
        <f t="shared" si="11"/>
        <v>4.6500000000000004</v>
      </c>
      <c r="P23" s="67">
        <f t="shared" si="2"/>
        <v>2439308.2417582422</v>
      </c>
      <c r="Q23" s="69">
        <f t="shared" si="12"/>
        <v>625276.59852064541</v>
      </c>
      <c r="R23" s="69">
        <f t="shared" si="13"/>
        <v>701114.31990849867</v>
      </c>
      <c r="S23" s="69">
        <f t="shared" si="14"/>
        <v>17901.278970204927</v>
      </c>
      <c r="T23" s="67">
        <f t="shared" si="9"/>
        <v>5983233.8664121293</v>
      </c>
      <c r="U23" s="67">
        <f t="shared" si="10"/>
        <v>1546181.3293603905</v>
      </c>
    </row>
    <row r="24" spans="1:21" ht="17.25" customHeight="1" x14ac:dyDescent="0.35">
      <c r="A24" s="64">
        <v>21</v>
      </c>
      <c r="B24" s="65">
        <v>2041</v>
      </c>
      <c r="C24" s="66">
        <f>'Inbound Carload Projections'!J19</f>
        <v>8377.1428571428569</v>
      </c>
      <c r="D24" s="66">
        <f>'Inbound Carload Projections'!O19</f>
        <v>81.406889495225101</v>
      </c>
      <c r="E24" s="66">
        <f>C24*D24*2*'Inbound Carload Projections'!$V$12</f>
        <v>3409785.7142857141</v>
      </c>
      <c r="F24" s="67">
        <f t="shared" si="3"/>
        <v>577481.30857142841</v>
      </c>
      <c r="G24" s="67">
        <f t="shared" si="4"/>
        <v>5032.4309938228562</v>
      </c>
      <c r="H24" s="67">
        <f t="shared" si="5"/>
        <v>2978.2773321428567</v>
      </c>
      <c r="I24" s="68">
        <f t="shared" si="6"/>
        <v>97178892.857142851</v>
      </c>
      <c r="J24" s="69">
        <f t="shared" si="0"/>
        <v>705518.76214285707</v>
      </c>
      <c r="K24" s="67">
        <f t="shared" si="7"/>
        <v>908622.64821428584</v>
      </c>
      <c r="L24" s="66">
        <f>C24*2*'Inbound Carload Projections'!$V$12</f>
        <v>41885.714285714283</v>
      </c>
      <c r="M24" s="68">
        <f t="shared" si="1"/>
        <v>167542.85714285713</v>
      </c>
      <c r="N24" s="68">
        <f t="shared" si="8"/>
        <v>524582.41758241761</v>
      </c>
      <c r="O24" s="70">
        <f t="shared" si="11"/>
        <v>4.6500000000000004</v>
      </c>
      <c r="P24" s="67">
        <f t="shared" si="2"/>
        <v>2439308.2417582422</v>
      </c>
      <c r="Q24" s="69">
        <f t="shared" si="12"/>
        <v>625276.59852064541</v>
      </c>
      <c r="R24" s="69">
        <f t="shared" si="13"/>
        <v>701114.31990849867</v>
      </c>
      <c r="S24" s="69">
        <f t="shared" si="14"/>
        <v>17901.278970204927</v>
      </c>
      <c r="T24" s="67">
        <f t="shared" si="9"/>
        <v>5983233.8664121293</v>
      </c>
      <c r="U24" s="67">
        <f t="shared" si="10"/>
        <v>1445029.2797760658</v>
      </c>
    </row>
    <row r="25" spans="1:21" ht="17.25" customHeight="1" x14ac:dyDescent="0.35">
      <c r="A25" s="64">
        <v>22</v>
      </c>
      <c r="B25" s="65">
        <v>2042</v>
      </c>
      <c r="C25" s="66">
        <f>'Inbound Carload Projections'!J20</f>
        <v>8377.1428571428569</v>
      </c>
      <c r="D25" s="66">
        <f>'Inbound Carload Projections'!O20</f>
        <v>81.406889495225101</v>
      </c>
      <c r="E25" s="66">
        <f>C25*D25*2*'Inbound Carload Projections'!$V$12</f>
        <v>3409785.7142857141</v>
      </c>
      <c r="F25" s="67">
        <f t="shared" si="3"/>
        <v>577481.30857142841</v>
      </c>
      <c r="G25" s="67">
        <f t="shared" si="4"/>
        <v>5032.4309938228562</v>
      </c>
      <c r="H25" s="67">
        <f t="shared" si="5"/>
        <v>2978.2773321428567</v>
      </c>
      <c r="I25" s="68">
        <f t="shared" si="6"/>
        <v>97178892.857142851</v>
      </c>
      <c r="J25" s="69">
        <f t="shared" si="0"/>
        <v>705518.76214285707</v>
      </c>
      <c r="K25" s="67">
        <f t="shared" si="7"/>
        <v>908622.64821428584</v>
      </c>
      <c r="L25" s="66">
        <f>C25*2*'Inbound Carload Projections'!$V$12</f>
        <v>41885.714285714283</v>
      </c>
      <c r="M25" s="68">
        <f t="shared" si="1"/>
        <v>167542.85714285713</v>
      </c>
      <c r="N25" s="68">
        <f t="shared" si="8"/>
        <v>524582.41758241761</v>
      </c>
      <c r="O25" s="70">
        <f t="shared" si="11"/>
        <v>4.6500000000000004</v>
      </c>
      <c r="P25" s="67">
        <f t="shared" si="2"/>
        <v>2439308.2417582422</v>
      </c>
      <c r="Q25" s="69">
        <f t="shared" si="12"/>
        <v>625276.59852064541</v>
      </c>
      <c r="R25" s="69">
        <f t="shared" si="13"/>
        <v>701114.31990849867</v>
      </c>
      <c r="S25" s="69">
        <f t="shared" si="14"/>
        <v>17901.278970204927</v>
      </c>
      <c r="T25" s="67">
        <f t="shared" si="9"/>
        <v>5983233.8664121293</v>
      </c>
      <c r="U25" s="67">
        <f t="shared" si="10"/>
        <v>1350494.6539963232</v>
      </c>
    </row>
    <row r="26" spans="1:21" ht="17.25" customHeight="1" x14ac:dyDescent="0.35">
      <c r="A26" s="64">
        <v>23</v>
      </c>
      <c r="B26" s="65">
        <v>2043</v>
      </c>
      <c r="C26" s="66">
        <f>'Inbound Carload Projections'!J21</f>
        <v>8377.1428571428569</v>
      </c>
      <c r="D26" s="66">
        <f>'Inbound Carload Projections'!O21</f>
        <v>81.406889495225101</v>
      </c>
      <c r="E26" s="66">
        <f>C26*D26*2*'Inbound Carload Projections'!$V$12</f>
        <v>3409785.7142857141</v>
      </c>
      <c r="F26" s="67">
        <f t="shared" si="3"/>
        <v>577481.30857142841</v>
      </c>
      <c r="G26" s="67">
        <f t="shared" si="4"/>
        <v>5032.4309938228562</v>
      </c>
      <c r="H26" s="67">
        <f t="shared" si="5"/>
        <v>2978.2773321428567</v>
      </c>
      <c r="I26" s="68">
        <f t="shared" si="6"/>
        <v>97178892.857142851</v>
      </c>
      <c r="J26" s="69">
        <f t="shared" si="0"/>
        <v>705518.76214285707</v>
      </c>
      <c r="K26" s="67">
        <f t="shared" si="7"/>
        <v>908622.64821428584</v>
      </c>
      <c r="L26" s="66">
        <f>C26*2*'Inbound Carload Projections'!$V$12</f>
        <v>41885.714285714283</v>
      </c>
      <c r="M26" s="68">
        <f t="shared" si="1"/>
        <v>167542.85714285713</v>
      </c>
      <c r="N26" s="68">
        <f t="shared" si="8"/>
        <v>524582.41758241761</v>
      </c>
      <c r="O26" s="70">
        <f t="shared" si="11"/>
        <v>4.6500000000000004</v>
      </c>
      <c r="P26" s="67">
        <f t="shared" si="2"/>
        <v>2439308.2417582422</v>
      </c>
      <c r="Q26" s="69">
        <f t="shared" si="12"/>
        <v>625276.59852064541</v>
      </c>
      <c r="R26" s="69">
        <f t="shared" si="13"/>
        <v>701114.31990849867</v>
      </c>
      <c r="S26" s="69">
        <f t="shared" si="14"/>
        <v>17901.278970204927</v>
      </c>
      <c r="T26" s="67">
        <f t="shared" si="9"/>
        <v>5983233.8664121293</v>
      </c>
      <c r="U26" s="67">
        <f t="shared" si="10"/>
        <v>1262144.5364451618</v>
      </c>
    </row>
    <row r="27" spans="1:21" ht="17.25" customHeight="1" x14ac:dyDescent="0.35">
      <c r="A27" s="64">
        <v>24</v>
      </c>
      <c r="B27" s="65">
        <v>2044</v>
      </c>
      <c r="C27" s="66">
        <f>'Inbound Carload Projections'!J22</f>
        <v>8377.1428571428569</v>
      </c>
      <c r="D27" s="66">
        <f>'Inbound Carload Projections'!O22</f>
        <v>81.406889495225101</v>
      </c>
      <c r="E27" s="66">
        <f>C27*D27*2*'Inbound Carload Projections'!$V$12</f>
        <v>3409785.7142857141</v>
      </c>
      <c r="F27" s="67">
        <f t="shared" si="3"/>
        <v>577481.30857142841</v>
      </c>
      <c r="G27" s="67">
        <f t="shared" si="4"/>
        <v>5032.4309938228562</v>
      </c>
      <c r="H27" s="67">
        <f t="shared" si="5"/>
        <v>2978.2773321428567</v>
      </c>
      <c r="I27" s="68">
        <f t="shared" si="6"/>
        <v>97178892.857142851</v>
      </c>
      <c r="J27" s="69">
        <f t="shared" si="0"/>
        <v>705518.76214285707</v>
      </c>
      <c r="K27" s="67">
        <f t="shared" si="7"/>
        <v>908622.64821428584</v>
      </c>
      <c r="L27" s="66">
        <f>C27*2*'Inbound Carload Projections'!$V$12</f>
        <v>41885.714285714283</v>
      </c>
      <c r="M27" s="68">
        <f t="shared" si="1"/>
        <v>167542.85714285713</v>
      </c>
      <c r="N27" s="68">
        <f t="shared" si="8"/>
        <v>524582.41758241761</v>
      </c>
      <c r="O27" s="70">
        <f t="shared" si="11"/>
        <v>4.6500000000000004</v>
      </c>
      <c r="P27" s="67">
        <f t="shared" si="2"/>
        <v>2439308.2417582422</v>
      </c>
      <c r="Q27" s="69">
        <f t="shared" si="12"/>
        <v>625276.59852064541</v>
      </c>
      <c r="R27" s="69">
        <f t="shared" si="13"/>
        <v>701114.31990849867</v>
      </c>
      <c r="S27" s="69">
        <f t="shared" si="14"/>
        <v>17901.278970204927</v>
      </c>
      <c r="T27" s="67">
        <f t="shared" si="9"/>
        <v>5983233.8664121293</v>
      </c>
      <c r="U27" s="67">
        <f t="shared" si="10"/>
        <v>1179574.3331263193</v>
      </c>
    </row>
    <row r="28" spans="1:21" ht="17.25" customHeight="1" x14ac:dyDescent="0.35">
      <c r="A28" s="64">
        <v>25</v>
      </c>
      <c r="B28" s="65">
        <v>2045</v>
      </c>
      <c r="C28" s="66">
        <f>'Inbound Carload Projections'!J23</f>
        <v>8377.1428571428569</v>
      </c>
      <c r="D28" s="66">
        <f>'Inbound Carload Projections'!O23</f>
        <v>81.406889495225101</v>
      </c>
      <c r="E28" s="66">
        <f>C28*D28*2*'Inbound Carload Projections'!$V$12</f>
        <v>3409785.7142857141</v>
      </c>
      <c r="F28" s="67">
        <f t="shared" si="3"/>
        <v>577481.30857142841</v>
      </c>
      <c r="G28" s="67">
        <f t="shared" si="4"/>
        <v>5032.4309938228562</v>
      </c>
      <c r="H28" s="67">
        <f t="shared" si="5"/>
        <v>2978.2773321428567</v>
      </c>
      <c r="I28" s="68">
        <f t="shared" si="6"/>
        <v>97178892.857142851</v>
      </c>
      <c r="J28" s="69">
        <f t="shared" si="0"/>
        <v>705518.76214285707</v>
      </c>
      <c r="K28" s="67">
        <f t="shared" si="7"/>
        <v>908622.64821428584</v>
      </c>
      <c r="L28" s="66">
        <f>C28*2*'Inbound Carload Projections'!$V$12</f>
        <v>41885.714285714283</v>
      </c>
      <c r="M28" s="68">
        <f t="shared" si="1"/>
        <v>167542.85714285713</v>
      </c>
      <c r="N28" s="68">
        <f t="shared" si="8"/>
        <v>524582.41758241761</v>
      </c>
      <c r="O28" s="70">
        <f t="shared" si="11"/>
        <v>4.6500000000000004</v>
      </c>
      <c r="P28" s="67">
        <f t="shared" si="2"/>
        <v>2439308.2417582422</v>
      </c>
      <c r="Q28" s="69">
        <f t="shared" si="12"/>
        <v>625276.59852064541</v>
      </c>
      <c r="R28" s="69">
        <f t="shared" si="13"/>
        <v>701114.31990849867</v>
      </c>
      <c r="S28" s="69">
        <f t="shared" si="14"/>
        <v>17901.278970204927</v>
      </c>
      <c r="T28" s="67">
        <f t="shared" si="9"/>
        <v>5983233.8664121293</v>
      </c>
      <c r="U28" s="67">
        <f t="shared" si="10"/>
        <v>1102405.9188096442</v>
      </c>
    </row>
    <row r="29" spans="1:21" ht="17.25" customHeight="1" x14ac:dyDescent="0.35">
      <c r="A29" s="64">
        <v>26</v>
      </c>
      <c r="B29" s="65">
        <v>2046</v>
      </c>
      <c r="C29" s="66">
        <f>'Inbound Carload Projections'!J24</f>
        <v>8377.1428571428569</v>
      </c>
      <c r="D29" s="66">
        <f>'Inbound Carload Projections'!O24</f>
        <v>81.406889495225101</v>
      </c>
      <c r="E29" s="66">
        <f>C29*D29*2*'Inbound Carload Projections'!$V$12</f>
        <v>3409785.7142857141</v>
      </c>
      <c r="F29" s="67">
        <f t="shared" si="3"/>
        <v>577481.30857142841</v>
      </c>
      <c r="G29" s="67">
        <f t="shared" si="4"/>
        <v>5032.4309938228562</v>
      </c>
      <c r="H29" s="67">
        <f t="shared" si="5"/>
        <v>2978.2773321428567</v>
      </c>
      <c r="I29" s="68">
        <f t="shared" si="6"/>
        <v>97178892.857142851</v>
      </c>
      <c r="J29" s="69">
        <f t="shared" si="0"/>
        <v>705518.76214285707</v>
      </c>
      <c r="K29" s="67">
        <f t="shared" si="7"/>
        <v>908622.64821428584</v>
      </c>
      <c r="L29" s="66">
        <f>C29*2*'Inbound Carload Projections'!$V$12</f>
        <v>41885.714285714283</v>
      </c>
      <c r="M29" s="68">
        <f t="shared" si="1"/>
        <v>167542.85714285713</v>
      </c>
      <c r="N29" s="68">
        <f t="shared" si="8"/>
        <v>524582.41758241761</v>
      </c>
      <c r="O29" s="70">
        <f t="shared" si="11"/>
        <v>4.6500000000000004</v>
      </c>
      <c r="P29" s="67">
        <f t="shared" si="2"/>
        <v>2439308.2417582422</v>
      </c>
      <c r="Q29" s="69">
        <f t="shared" si="12"/>
        <v>625276.59852064541</v>
      </c>
      <c r="R29" s="69">
        <f t="shared" si="13"/>
        <v>701114.31990849867</v>
      </c>
      <c r="S29" s="69">
        <f t="shared" si="14"/>
        <v>17901.278970204927</v>
      </c>
      <c r="T29" s="67">
        <f t="shared" si="9"/>
        <v>5983233.8664121293</v>
      </c>
      <c r="U29" s="67">
        <f t="shared" si="10"/>
        <v>1030285.9054295742</v>
      </c>
    </row>
    <row r="30" spans="1:21" ht="17.25" customHeight="1" x14ac:dyDescent="0.35">
      <c r="A30" s="64">
        <v>27</v>
      </c>
      <c r="B30" s="65">
        <v>2047</v>
      </c>
      <c r="C30" s="66">
        <f>'Inbound Carload Projections'!J25</f>
        <v>8377.1428571428569</v>
      </c>
      <c r="D30" s="66">
        <f>'Inbound Carload Projections'!O25</f>
        <v>81.406889495225101</v>
      </c>
      <c r="E30" s="66">
        <f>C30*D30*2*'Inbound Carload Projections'!$V$12</f>
        <v>3409785.7142857141</v>
      </c>
      <c r="F30" s="67">
        <f t="shared" si="3"/>
        <v>577481.30857142841</v>
      </c>
      <c r="G30" s="67">
        <f t="shared" si="4"/>
        <v>5032.4309938228562</v>
      </c>
      <c r="H30" s="67">
        <f t="shared" si="5"/>
        <v>2978.2773321428567</v>
      </c>
      <c r="I30" s="68">
        <f t="shared" si="6"/>
        <v>97178892.857142851</v>
      </c>
      <c r="J30" s="69">
        <f t="shared" si="0"/>
        <v>705518.76214285707</v>
      </c>
      <c r="K30" s="67">
        <f t="shared" si="7"/>
        <v>908622.64821428584</v>
      </c>
      <c r="L30" s="66">
        <f>C30*2*'Inbound Carload Projections'!$V$12</f>
        <v>41885.714285714283</v>
      </c>
      <c r="M30" s="68">
        <f t="shared" si="1"/>
        <v>167542.85714285713</v>
      </c>
      <c r="N30" s="68">
        <f t="shared" si="8"/>
        <v>524582.41758241761</v>
      </c>
      <c r="O30" s="70">
        <f t="shared" si="11"/>
        <v>4.6500000000000004</v>
      </c>
      <c r="P30" s="67">
        <f t="shared" si="2"/>
        <v>2439308.2417582422</v>
      </c>
      <c r="Q30" s="69">
        <f t="shared" si="12"/>
        <v>625276.59852064541</v>
      </c>
      <c r="R30" s="69">
        <f t="shared" si="13"/>
        <v>701114.31990849867</v>
      </c>
      <c r="S30" s="69">
        <f t="shared" si="14"/>
        <v>17901.278970204927</v>
      </c>
      <c r="T30" s="67">
        <f t="shared" si="9"/>
        <v>5983233.8664121293</v>
      </c>
      <c r="U30" s="67">
        <f t="shared" si="10"/>
        <v>962884.02376595698</v>
      </c>
    </row>
    <row r="31" spans="1:21" ht="17.25" customHeight="1" x14ac:dyDescent="0.35">
      <c r="A31" s="64">
        <v>28</v>
      </c>
      <c r="B31" s="65">
        <v>2048</v>
      </c>
      <c r="C31" s="66">
        <f>'Inbound Carload Projections'!J26</f>
        <v>8377.1428571428569</v>
      </c>
      <c r="D31" s="66">
        <f>'Inbound Carload Projections'!O26</f>
        <v>81.406889495225101</v>
      </c>
      <c r="E31" s="66">
        <f>C31*D31*2*'Inbound Carload Projections'!$V$12</f>
        <v>3409785.7142857141</v>
      </c>
      <c r="F31" s="67">
        <f t="shared" si="3"/>
        <v>577481.30857142841</v>
      </c>
      <c r="G31" s="67">
        <f t="shared" si="4"/>
        <v>5032.4309938228562</v>
      </c>
      <c r="H31" s="67">
        <f t="shared" si="5"/>
        <v>2978.2773321428567</v>
      </c>
      <c r="I31" s="68">
        <f t="shared" si="6"/>
        <v>97178892.857142851</v>
      </c>
      <c r="J31" s="69">
        <f t="shared" si="0"/>
        <v>705518.76214285707</v>
      </c>
      <c r="K31" s="67">
        <f t="shared" si="7"/>
        <v>908622.64821428584</v>
      </c>
      <c r="L31" s="66">
        <f>C31*2*'Inbound Carload Projections'!$V$12</f>
        <v>41885.714285714283</v>
      </c>
      <c r="M31" s="68">
        <f t="shared" si="1"/>
        <v>167542.85714285713</v>
      </c>
      <c r="N31" s="68">
        <f t="shared" si="8"/>
        <v>524582.41758241761</v>
      </c>
      <c r="O31" s="70">
        <f t="shared" si="11"/>
        <v>4.6500000000000004</v>
      </c>
      <c r="P31" s="67">
        <f t="shared" si="2"/>
        <v>2439308.2417582422</v>
      </c>
      <c r="Q31" s="69">
        <f t="shared" si="12"/>
        <v>625276.59852064541</v>
      </c>
      <c r="R31" s="69">
        <f t="shared" si="13"/>
        <v>701114.31990849867</v>
      </c>
      <c r="S31" s="69">
        <f t="shared" si="14"/>
        <v>17901.278970204927</v>
      </c>
      <c r="T31" s="67">
        <f t="shared" si="9"/>
        <v>5983233.8664121293</v>
      </c>
      <c r="U31" s="67">
        <f t="shared" si="10"/>
        <v>899891.61099622166</v>
      </c>
    </row>
    <row r="32" spans="1:21" ht="17.25" customHeight="1" x14ac:dyDescent="0.35">
      <c r="A32" s="64">
        <v>29</v>
      </c>
      <c r="B32" s="65">
        <v>2049</v>
      </c>
      <c r="C32" s="66">
        <f>'Inbound Carload Projections'!J27</f>
        <v>8377.1428571428569</v>
      </c>
      <c r="D32" s="66">
        <f>'Inbound Carload Projections'!O27</f>
        <v>81.406889495225101</v>
      </c>
      <c r="E32" s="66">
        <f>C32*D32*2*'Inbound Carload Projections'!$V$12</f>
        <v>3409785.7142857141</v>
      </c>
      <c r="F32" s="67">
        <f t="shared" si="3"/>
        <v>577481.30857142841</v>
      </c>
      <c r="G32" s="67">
        <f t="shared" si="4"/>
        <v>5032.4309938228562</v>
      </c>
      <c r="H32" s="67">
        <f t="shared" si="5"/>
        <v>2978.2773321428567</v>
      </c>
      <c r="I32" s="68">
        <f t="shared" si="6"/>
        <v>97178892.857142851</v>
      </c>
      <c r="J32" s="69">
        <f t="shared" si="0"/>
        <v>705518.76214285707</v>
      </c>
      <c r="K32" s="67">
        <f t="shared" si="7"/>
        <v>908622.64821428584</v>
      </c>
      <c r="L32" s="66">
        <f>C32*2*'Inbound Carload Projections'!$V$12</f>
        <v>41885.714285714283</v>
      </c>
      <c r="M32" s="68">
        <f t="shared" si="1"/>
        <v>167542.85714285713</v>
      </c>
      <c r="N32" s="68">
        <f t="shared" si="8"/>
        <v>524582.41758241761</v>
      </c>
      <c r="O32" s="70">
        <f t="shared" si="11"/>
        <v>4.6500000000000004</v>
      </c>
      <c r="P32" s="67">
        <f t="shared" si="2"/>
        <v>2439308.2417582422</v>
      </c>
      <c r="Q32" s="69">
        <f t="shared" si="12"/>
        <v>625276.59852064541</v>
      </c>
      <c r="R32" s="69">
        <f t="shared" si="13"/>
        <v>701114.31990849867</v>
      </c>
      <c r="S32" s="69">
        <f t="shared" si="14"/>
        <v>17901.278970204927</v>
      </c>
      <c r="T32" s="67">
        <f t="shared" si="9"/>
        <v>5983233.8664121293</v>
      </c>
      <c r="U32" s="67">
        <f t="shared" si="10"/>
        <v>841020.1971927305</v>
      </c>
    </row>
    <row r="33" spans="1:21" ht="17.25" customHeight="1" x14ac:dyDescent="0.35">
      <c r="A33" s="64">
        <v>30</v>
      </c>
      <c r="B33" s="65">
        <v>2050</v>
      </c>
      <c r="C33" s="66">
        <f>'Inbound Carload Projections'!J28</f>
        <v>8377.1428571428569</v>
      </c>
      <c r="D33" s="66">
        <f>'Inbound Carload Projections'!O28</f>
        <v>81.406889495225101</v>
      </c>
      <c r="E33" s="66">
        <f>C33*D33*2*'Inbound Carload Projections'!$V$12</f>
        <v>3409785.7142857141</v>
      </c>
      <c r="F33" s="67">
        <f t="shared" si="3"/>
        <v>577481.30857142841</v>
      </c>
      <c r="G33" s="67">
        <f t="shared" si="4"/>
        <v>5032.4309938228562</v>
      </c>
      <c r="H33" s="67">
        <f t="shared" si="5"/>
        <v>2978.2773321428567</v>
      </c>
      <c r="I33" s="68">
        <f t="shared" si="6"/>
        <v>97178892.857142851</v>
      </c>
      <c r="J33" s="69">
        <f t="shared" si="0"/>
        <v>705518.76214285707</v>
      </c>
      <c r="K33" s="67">
        <f t="shared" si="7"/>
        <v>908622.64821428584</v>
      </c>
      <c r="L33" s="66">
        <f>C33*2*'Inbound Carload Projections'!$V$12</f>
        <v>41885.714285714283</v>
      </c>
      <c r="M33" s="68">
        <f t="shared" si="1"/>
        <v>167542.85714285713</v>
      </c>
      <c r="N33" s="68">
        <f t="shared" si="8"/>
        <v>524582.41758241761</v>
      </c>
      <c r="O33" s="70">
        <f t="shared" si="11"/>
        <v>4.6500000000000004</v>
      </c>
      <c r="P33" s="67">
        <f t="shared" si="2"/>
        <v>2439308.2417582422</v>
      </c>
      <c r="Q33" s="69">
        <f t="shared" si="12"/>
        <v>625276.59852064541</v>
      </c>
      <c r="R33" s="69">
        <f t="shared" si="13"/>
        <v>701114.31990849867</v>
      </c>
      <c r="S33" s="69">
        <f t="shared" si="14"/>
        <v>17901.278970204927</v>
      </c>
      <c r="T33" s="67">
        <f t="shared" si="9"/>
        <v>5983233.8664121293</v>
      </c>
      <c r="U33" s="67">
        <f t="shared" si="10"/>
        <v>786000.1842922715</v>
      </c>
    </row>
    <row r="34" spans="1:21" ht="17.25" customHeight="1" x14ac:dyDescent="0.35">
      <c r="A34" s="64">
        <v>31</v>
      </c>
      <c r="B34" s="65">
        <v>2051</v>
      </c>
      <c r="C34" s="66">
        <f>'Inbound Carload Projections'!J29</f>
        <v>8377.1428571428569</v>
      </c>
      <c r="D34" s="66">
        <f>'Inbound Carload Projections'!O29</f>
        <v>81.406889495225101</v>
      </c>
      <c r="E34" s="66">
        <f>C34*D34*2*'Inbound Carload Projections'!$V$12</f>
        <v>3409785.7142857141</v>
      </c>
      <c r="F34" s="67">
        <f t="shared" si="3"/>
        <v>577481.30857142841</v>
      </c>
      <c r="G34" s="67">
        <f t="shared" si="4"/>
        <v>5032.4309938228562</v>
      </c>
      <c r="H34" s="67">
        <f t="shared" si="5"/>
        <v>2978.2773321428567</v>
      </c>
      <c r="I34" s="68">
        <f t="shared" si="6"/>
        <v>97178892.857142851</v>
      </c>
      <c r="J34" s="69">
        <f t="shared" si="0"/>
        <v>705518.76214285707</v>
      </c>
      <c r="K34" s="67">
        <f t="shared" si="7"/>
        <v>908622.64821428584</v>
      </c>
      <c r="L34" s="66">
        <f>C34*2*'Inbound Carload Projections'!$V$12</f>
        <v>41885.714285714283</v>
      </c>
      <c r="M34" s="68">
        <f t="shared" si="1"/>
        <v>167542.85714285713</v>
      </c>
      <c r="N34" s="68">
        <f t="shared" si="8"/>
        <v>524582.41758241761</v>
      </c>
      <c r="O34" s="70">
        <f t="shared" si="11"/>
        <v>4.6500000000000004</v>
      </c>
      <c r="P34" s="67">
        <f t="shared" si="2"/>
        <v>2439308.2417582422</v>
      </c>
      <c r="Q34" s="69">
        <f t="shared" si="12"/>
        <v>625276.59852064541</v>
      </c>
      <c r="R34" s="69">
        <f t="shared" si="13"/>
        <v>701114.31990849867</v>
      </c>
      <c r="S34" s="69">
        <f t="shared" si="14"/>
        <v>17901.278970204927</v>
      </c>
      <c r="T34" s="67">
        <f t="shared" si="9"/>
        <v>5983233.8664121293</v>
      </c>
      <c r="U34" s="67">
        <f t="shared" si="10"/>
        <v>734579.6114881041</v>
      </c>
    </row>
    <row r="35" spans="1:21" ht="17.25" customHeight="1" x14ac:dyDescent="0.35">
      <c r="A35" s="64">
        <v>32</v>
      </c>
      <c r="B35" s="65">
        <v>2052</v>
      </c>
      <c r="C35" s="66">
        <f>'Inbound Carload Projections'!J30</f>
        <v>8377.1428571428569</v>
      </c>
      <c r="D35" s="66">
        <f>'Inbound Carload Projections'!O30</f>
        <v>81.406889495225101</v>
      </c>
      <c r="E35" s="66">
        <f>C35*D35*2*'Inbound Carload Projections'!$V$12</f>
        <v>3409785.7142857141</v>
      </c>
      <c r="F35" s="67">
        <f t="shared" si="3"/>
        <v>577481.30857142841</v>
      </c>
      <c r="G35" s="67">
        <f t="shared" si="4"/>
        <v>5032.4309938228562</v>
      </c>
      <c r="H35" s="67">
        <f t="shared" si="5"/>
        <v>2978.2773321428567</v>
      </c>
      <c r="I35" s="68">
        <f t="shared" si="6"/>
        <v>97178892.857142851</v>
      </c>
      <c r="J35" s="69">
        <f t="shared" si="0"/>
        <v>705518.76214285707</v>
      </c>
      <c r="K35" s="67">
        <f t="shared" si="7"/>
        <v>908622.64821428584</v>
      </c>
      <c r="L35" s="66">
        <f>C35*2*'Inbound Carload Projections'!$V$12</f>
        <v>41885.714285714283</v>
      </c>
      <c r="M35" s="68">
        <f t="shared" si="1"/>
        <v>167542.85714285713</v>
      </c>
      <c r="N35" s="68">
        <f t="shared" si="8"/>
        <v>524582.41758241761</v>
      </c>
      <c r="O35" s="70">
        <f t="shared" si="11"/>
        <v>4.6500000000000004</v>
      </c>
      <c r="P35" s="67">
        <f t="shared" si="2"/>
        <v>2439308.2417582422</v>
      </c>
      <c r="Q35" s="69">
        <f t="shared" si="12"/>
        <v>625276.59852064541</v>
      </c>
      <c r="R35" s="69">
        <f t="shared" si="13"/>
        <v>701114.31990849867</v>
      </c>
      <c r="S35" s="69">
        <f t="shared" si="14"/>
        <v>17901.278970204927</v>
      </c>
      <c r="T35" s="67">
        <f t="shared" si="9"/>
        <v>5983233.8664121293</v>
      </c>
      <c r="U35" s="67">
        <f t="shared" si="10"/>
        <v>686523.00139075157</v>
      </c>
    </row>
    <row r="36" spans="1:21" ht="17.25" customHeight="1" x14ac:dyDescent="0.35">
      <c r="A36" s="64">
        <v>33</v>
      </c>
      <c r="B36" s="65">
        <v>2053</v>
      </c>
      <c r="C36" s="66">
        <f>'Inbound Carload Projections'!J31</f>
        <v>8377.1428571428569</v>
      </c>
      <c r="D36" s="66">
        <f>'Inbound Carload Projections'!O31</f>
        <v>81.406889495225101</v>
      </c>
      <c r="E36" s="66">
        <f>C36*D36*2*'Inbound Carload Projections'!$V$12</f>
        <v>3409785.7142857141</v>
      </c>
      <c r="F36" s="67">
        <f t="shared" si="3"/>
        <v>577481.30857142841</v>
      </c>
      <c r="G36" s="67">
        <f t="shared" si="4"/>
        <v>5032.4309938228562</v>
      </c>
      <c r="H36" s="67">
        <f t="shared" si="5"/>
        <v>2978.2773321428567</v>
      </c>
      <c r="I36" s="68">
        <f t="shared" si="6"/>
        <v>97178892.857142851</v>
      </c>
      <c r="J36" s="69">
        <f t="shared" si="0"/>
        <v>705518.76214285707</v>
      </c>
      <c r="K36" s="67">
        <f t="shared" si="7"/>
        <v>908622.64821428584</v>
      </c>
      <c r="L36" s="66">
        <f>C36*2*'Inbound Carload Projections'!$V$12</f>
        <v>41885.714285714283</v>
      </c>
      <c r="M36" s="68">
        <f t="shared" si="1"/>
        <v>167542.85714285713</v>
      </c>
      <c r="N36" s="68">
        <f t="shared" si="8"/>
        <v>524582.41758241761</v>
      </c>
      <c r="O36" s="70">
        <f t="shared" si="11"/>
        <v>4.6500000000000004</v>
      </c>
      <c r="P36" s="67">
        <f t="shared" si="2"/>
        <v>2439308.2417582422</v>
      </c>
      <c r="Q36" s="69">
        <f t="shared" si="12"/>
        <v>625276.59852064541</v>
      </c>
      <c r="R36" s="69">
        <f t="shared" si="13"/>
        <v>701114.31990849867</v>
      </c>
      <c r="S36" s="69">
        <f t="shared" si="14"/>
        <v>17901.278970204927</v>
      </c>
      <c r="T36" s="67">
        <f t="shared" si="9"/>
        <v>5983233.8664121293</v>
      </c>
      <c r="U36" s="67">
        <f t="shared" si="10"/>
        <v>641610.28167359962</v>
      </c>
    </row>
    <row r="37" spans="1:21" s="58" customFormat="1" ht="17" customHeight="1" x14ac:dyDescent="0.35">
      <c r="A37" s="64">
        <v>34</v>
      </c>
      <c r="B37" s="65">
        <v>2054</v>
      </c>
      <c r="C37" s="66">
        <f>'Inbound Carload Projections'!J32</f>
        <v>8377.1428571428569</v>
      </c>
      <c r="D37" s="66">
        <f>'Inbound Carload Projections'!O32</f>
        <v>81.406889495225101</v>
      </c>
      <c r="E37" s="66">
        <f>C37*D37*2*'Inbound Carload Projections'!$V$12</f>
        <v>3409785.7142857141</v>
      </c>
      <c r="F37" s="67">
        <f t="shared" si="3"/>
        <v>577481.30857142841</v>
      </c>
      <c r="G37" s="67">
        <f t="shared" si="4"/>
        <v>5032.4309938228562</v>
      </c>
      <c r="H37" s="67">
        <f t="shared" si="5"/>
        <v>2978.2773321428567</v>
      </c>
      <c r="I37" s="68">
        <f t="shared" si="6"/>
        <v>97178892.857142851</v>
      </c>
      <c r="J37" s="69">
        <f t="shared" si="0"/>
        <v>705518.76214285707</v>
      </c>
      <c r="K37" s="67">
        <f t="shared" si="7"/>
        <v>908622.64821428584</v>
      </c>
      <c r="L37" s="66">
        <f>C37*2*'Inbound Carload Projections'!$V$12</f>
        <v>41885.714285714283</v>
      </c>
      <c r="M37" s="68">
        <f t="shared" si="1"/>
        <v>167542.85714285713</v>
      </c>
      <c r="N37" s="68">
        <f t="shared" si="8"/>
        <v>524582.41758241761</v>
      </c>
      <c r="O37" s="70">
        <f t="shared" si="11"/>
        <v>4.6500000000000004</v>
      </c>
      <c r="P37" s="67">
        <f t="shared" si="2"/>
        <v>2439308.2417582422</v>
      </c>
      <c r="Q37" s="69">
        <f t="shared" si="12"/>
        <v>625276.59852064541</v>
      </c>
      <c r="R37" s="69">
        <f t="shared" si="13"/>
        <v>701114.31990849867</v>
      </c>
      <c r="S37" s="69">
        <f t="shared" si="14"/>
        <v>17901.278970204927</v>
      </c>
      <c r="T37" s="67">
        <f t="shared" si="9"/>
        <v>5983233.8664121293</v>
      </c>
      <c r="U37" s="67">
        <f t="shared" si="10"/>
        <v>599635.77726504637</v>
      </c>
    </row>
    <row r="38" spans="1:21" s="58" customFormat="1" ht="17.25" customHeight="1" thickBot="1" x14ac:dyDescent="0.4">
      <c r="A38" s="234">
        <v>35</v>
      </c>
      <c r="B38" s="235">
        <v>2055</v>
      </c>
      <c r="C38" s="236">
        <f>'Inbound Carload Projections'!J33</f>
        <v>8377.1428571428569</v>
      </c>
      <c r="D38" s="236">
        <f>'Inbound Carload Projections'!O33</f>
        <v>81.406889495225101</v>
      </c>
      <c r="E38" s="236">
        <f>C38*D38*2*'Inbound Carload Projections'!$V$12</f>
        <v>3409785.7142857141</v>
      </c>
      <c r="F38" s="67">
        <f t="shared" si="3"/>
        <v>577481.30857142841</v>
      </c>
      <c r="G38" s="237">
        <f>E38/100000000*554800*0.047*5.66</f>
        <v>5032.4309938228562</v>
      </c>
      <c r="H38" s="67">
        <f t="shared" si="5"/>
        <v>2978.2773321428567</v>
      </c>
      <c r="I38" s="238">
        <f t="shared" si="6"/>
        <v>97178892.857142851</v>
      </c>
      <c r="J38" s="240">
        <f t="shared" si="0"/>
        <v>705518.76214285707</v>
      </c>
      <c r="K38" s="249">
        <f t="shared" si="7"/>
        <v>908622.64821428584</v>
      </c>
      <c r="L38" s="236">
        <f>C38*2*'Inbound Carload Projections'!$V$12</f>
        <v>41885.714285714283</v>
      </c>
      <c r="M38" s="238">
        <f>L38*4</f>
        <v>167542.85714285713</v>
      </c>
      <c r="N38" s="238">
        <f t="shared" si="8"/>
        <v>524582.41758241761</v>
      </c>
      <c r="O38" s="239">
        <f t="shared" si="11"/>
        <v>4.6500000000000004</v>
      </c>
      <c r="P38" s="237">
        <f>O38*N38</f>
        <v>2439308.2417582422</v>
      </c>
      <c r="Q38" s="240">
        <f>E38*9.191*0.00220462/2000*18100</f>
        <v>625276.59852064541</v>
      </c>
      <c r="R38" s="240">
        <f>E38*0.215*0.00220462/2000*867600</f>
        <v>701114.31990849867</v>
      </c>
      <c r="S38" s="240">
        <f>E38*0.097*0.00220462/2000*49100</f>
        <v>17901.278970204927</v>
      </c>
      <c r="T38" s="67">
        <f t="shared" si="9"/>
        <v>5983233.8664121293</v>
      </c>
      <c r="U38" s="237">
        <f>T38/(1+0.07)^A38</f>
        <v>560407.26847200596</v>
      </c>
    </row>
    <row r="39" spans="1:21" s="74" customFormat="1" ht="15.5" thickBot="1" x14ac:dyDescent="0.4">
      <c r="A39" s="71"/>
      <c r="B39" s="72"/>
      <c r="C39" s="228">
        <f>SUM(C3:C38)</f>
        <v>236494.28571428586</v>
      </c>
      <c r="D39" s="73"/>
      <c r="E39" s="229">
        <f>SUM(E3:E38)</f>
        <v>96258321.428571463</v>
      </c>
      <c r="F39" s="230">
        <f>SUM(F3:F38)</f>
        <v>16302309.317142846</v>
      </c>
      <c r="G39" s="230">
        <f>SUM(G3:G38)</f>
        <v>142065.63132134569</v>
      </c>
      <c r="H39" s="230">
        <f>SUM(H3:H38)</f>
        <v>84076.830851785664</v>
      </c>
      <c r="I39" s="247">
        <f>SUM(I3:I38)</f>
        <v>2743362160.7142863</v>
      </c>
      <c r="J39" s="248">
        <f>SUM(J9:J38)</f>
        <v>19916809.286785714</v>
      </c>
      <c r="K39" s="250">
        <f>SUM(K3:K38)</f>
        <v>25650436.202678565</v>
      </c>
      <c r="L39" s="231">
        <f>SUM(L3:L38)</f>
        <v>1182471.4285714289</v>
      </c>
      <c r="M39" s="232">
        <f>SUM(M9:M38)</f>
        <v>4729885.7142857155</v>
      </c>
      <c r="N39" s="232">
        <f>SUM(N9:N38)</f>
        <v>14808972.527472522</v>
      </c>
      <c r="O39" s="73"/>
      <c r="P39" s="230">
        <f>SUM(P3:P38)</f>
        <v>68861722.252747267</v>
      </c>
      <c r="Q39" s="260">
        <f>SUM(Q3:S38)</f>
        <v>37676046.400415041</v>
      </c>
      <c r="R39" s="261"/>
      <c r="S39" s="261"/>
      <c r="T39" s="230">
        <f>SUM(T3:T38)</f>
        <v>168633465.92194268</v>
      </c>
      <c r="U39" s="233">
        <f>SUM(U3:U38)</f>
        <v>46143445.819015794</v>
      </c>
    </row>
    <row r="40" spans="1:21" s="58" customFormat="1" ht="17.5" customHeight="1" x14ac:dyDescent="0.35">
      <c r="A40" s="75"/>
      <c r="B40" s="76" t="s">
        <v>2</v>
      </c>
      <c r="C40" s="77"/>
      <c r="D40" s="78"/>
      <c r="E40" s="79"/>
      <c r="F40" s="79"/>
      <c r="G40" s="80">
        <f>SUM(F39:H39)/T39</f>
        <v>9.8014066715361781E-2</v>
      </c>
      <c r="H40" s="81"/>
      <c r="I40" s="82"/>
      <c r="J40" s="264" cm="1">
        <f t="array" ref="J40">SUM(J39:K39/T39)</f>
        <v>0.27021472422654536</v>
      </c>
      <c r="K40" s="265"/>
      <c r="L40" s="79"/>
      <c r="M40" s="82"/>
      <c r="N40" s="84"/>
      <c r="O40" s="78"/>
      <c r="P40" s="83">
        <f>P39/T39</f>
        <v>0.40835146141526907</v>
      </c>
      <c r="Q40" s="85"/>
      <c r="R40" s="83">
        <f>Q39/T39</f>
        <v>0.22341974764282307</v>
      </c>
      <c r="S40" s="86"/>
      <c r="T40" s="86"/>
      <c r="U40" s="79"/>
    </row>
    <row r="41" spans="1:21" s="58" customFormat="1" ht="15" customHeight="1" x14ac:dyDescent="0.3">
      <c r="G41" s="87">
        <f>G40*U39</f>
        <v>4522706.7769816956</v>
      </c>
      <c r="I41" s="88"/>
      <c r="J41" s="266">
        <f>J40*U39</f>
        <v>12468638.486847891</v>
      </c>
      <c r="K41" s="266"/>
      <c r="M41" s="88"/>
      <c r="N41" s="90"/>
      <c r="P41" s="89">
        <f>P40*U39</f>
        <v>18842743.534931388</v>
      </c>
      <c r="R41" s="89">
        <f>R40*U39</f>
        <v>10309357.020254789</v>
      </c>
    </row>
    <row r="43" spans="1:21" s="58" customFormat="1" x14ac:dyDescent="0.3">
      <c r="E43" s="262"/>
      <c r="F43" s="263"/>
      <c r="G43" s="263"/>
      <c r="H43" s="87"/>
      <c r="I43" s="88"/>
      <c r="K43" s="217"/>
      <c r="M43" s="88"/>
      <c r="N43" s="90"/>
      <c r="P43" s="89"/>
      <c r="S43" s="89"/>
    </row>
    <row r="44" spans="1:21" s="58" customFormat="1" ht="15" customHeight="1" x14ac:dyDescent="0.3">
      <c r="E44" s="263"/>
      <c r="F44" s="263"/>
      <c r="G44" s="263"/>
      <c r="I44" s="88"/>
      <c r="M44" s="88"/>
      <c r="N44" s="90"/>
      <c r="O44" s="93"/>
      <c r="P44" s="94"/>
      <c r="Q44" s="95"/>
      <c r="R44" s="95"/>
      <c r="S44" s="95"/>
    </row>
    <row r="45" spans="1:21" s="58" customFormat="1" ht="15" customHeight="1" x14ac:dyDescent="0.3">
      <c r="D45" s="90"/>
      <c r="E45" s="262"/>
      <c r="F45" s="263"/>
      <c r="G45" s="263"/>
      <c r="I45" s="88"/>
      <c r="M45" s="88"/>
      <c r="N45" s="90"/>
      <c r="O45" s="87"/>
      <c r="Q45" s="95"/>
      <c r="R45" s="95"/>
      <c r="S45" s="95"/>
    </row>
    <row r="46" spans="1:21" s="58" customFormat="1" ht="15" customHeight="1" x14ac:dyDescent="0.3">
      <c r="E46" s="263"/>
      <c r="F46" s="263"/>
      <c r="G46" s="263"/>
      <c r="I46" s="88"/>
      <c r="M46" s="88"/>
      <c r="N46" s="90"/>
      <c r="Q46" s="95"/>
      <c r="R46" s="95"/>
      <c r="S46" s="95"/>
    </row>
    <row r="47" spans="1:21" s="58" customFormat="1" ht="15" customHeight="1" x14ac:dyDescent="0.3">
      <c r="E47" s="263"/>
      <c r="F47" s="263"/>
      <c r="G47" s="263"/>
      <c r="I47" s="88"/>
      <c r="L47" s="96"/>
      <c r="M47" s="88"/>
      <c r="N47" s="90"/>
      <c r="Q47" s="95"/>
      <c r="R47" s="95"/>
      <c r="S47" s="95"/>
    </row>
    <row r="48" spans="1:21" s="58" customFormat="1" ht="15" customHeight="1" x14ac:dyDescent="0.3">
      <c r="E48" s="263"/>
      <c r="F48" s="263"/>
      <c r="G48" s="263"/>
      <c r="I48" s="88"/>
      <c r="M48" s="88"/>
      <c r="N48" s="90"/>
      <c r="Q48" s="95"/>
      <c r="R48" s="95"/>
      <c r="S48" s="95"/>
    </row>
    <row r="49" spans="6:21" s="58" customFormat="1" ht="15" customHeight="1" x14ac:dyDescent="0.3">
      <c r="F49" s="87"/>
      <c r="G49" s="87"/>
      <c r="H49" s="87"/>
      <c r="I49" s="88"/>
      <c r="J49" s="97"/>
      <c r="K49" s="87"/>
      <c r="M49" s="88"/>
      <c r="N49" s="90"/>
      <c r="P49" s="97"/>
      <c r="Q49" s="95"/>
      <c r="R49" s="95"/>
      <c r="S49" s="95"/>
      <c r="U49" s="87"/>
    </row>
    <row r="50" spans="6:21" s="58" customFormat="1" ht="15" customHeight="1" x14ac:dyDescent="0.3">
      <c r="F50" s="98"/>
      <c r="G50" s="98"/>
      <c r="H50" s="98"/>
      <c r="I50" s="97"/>
      <c r="K50" s="98"/>
      <c r="M50" s="88"/>
      <c r="N50" s="90"/>
      <c r="P50" s="98"/>
      <c r="Q50" s="95"/>
      <c r="R50" s="95"/>
      <c r="S50" s="95"/>
      <c r="U50" s="99"/>
    </row>
    <row r="51" spans="6:21" s="58" customFormat="1" ht="15" customHeight="1" x14ac:dyDescent="0.3">
      <c r="G51" s="96"/>
      <c r="I51" s="88"/>
      <c r="K51" s="95"/>
      <c r="L51" s="96"/>
      <c r="M51" s="88"/>
      <c r="N51" s="90"/>
      <c r="O51" s="88"/>
      <c r="Q51" s="95"/>
      <c r="R51" s="95"/>
      <c r="S51" s="95"/>
    </row>
    <row r="52" spans="6:21" ht="15" customHeight="1" x14ac:dyDescent="0.3">
      <c r="K52" s="95"/>
      <c r="Q52" s="95"/>
      <c r="R52" s="95"/>
      <c r="S52" s="95"/>
    </row>
    <row r="53" spans="6:21" ht="15" customHeight="1" x14ac:dyDescent="0.3">
      <c r="K53" s="95"/>
      <c r="Q53" s="95"/>
      <c r="R53" s="95"/>
      <c r="S53" s="95"/>
    </row>
    <row r="54" spans="6:21" ht="15" customHeight="1" x14ac:dyDescent="0.3">
      <c r="K54" s="95"/>
      <c r="Q54" s="95"/>
      <c r="R54" s="95"/>
      <c r="S54" s="95"/>
    </row>
    <row r="55" spans="6:21" ht="15" customHeight="1" x14ac:dyDescent="0.3">
      <c r="K55" s="95"/>
      <c r="Q55" s="95"/>
      <c r="R55" s="95"/>
      <c r="S55" s="95"/>
    </row>
    <row r="56" spans="6:21" ht="15" customHeight="1" x14ac:dyDescent="0.3">
      <c r="K56" s="95"/>
      <c r="Q56" s="95"/>
      <c r="R56" s="95"/>
      <c r="S56" s="95"/>
    </row>
    <row r="57" spans="6:21" ht="15" customHeight="1" x14ac:dyDescent="0.3">
      <c r="K57" s="95"/>
      <c r="Q57" s="95"/>
      <c r="R57" s="95"/>
      <c r="S57" s="95"/>
    </row>
    <row r="58" spans="6:21" ht="15" customHeight="1" x14ac:dyDescent="0.3">
      <c r="K58" s="95"/>
      <c r="Q58" s="95"/>
      <c r="R58" s="95"/>
      <c r="S58" s="95"/>
    </row>
    <row r="59" spans="6:21" ht="15" customHeight="1" x14ac:dyDescent="0.3">
      <c r="K59" s="95"/>
      <c r="Q59" s="95"/>
      <c r="R59" s="95"/>
      <c r="S59" s="95"/>
    </row>
    <row r="60" spans="6:21" ht="15" customHeight="1" x14ac:dyDescent="0.3">
      <c r="K60" s="95"/>
      <c r="Q60" s="95"/>
      <c r="R60" s="95"/>
      <c r="S60" s="95"/>
    </row>
    <row r="61" spans="6:21" ht="15" customHeight="1" x14ac:dyDescent="0.3">
      <c r="K61" s="95"/>
      <c r="Q61" s="95"/>
      <c r="R61" s="95"/>
      <c r="S61" s="95"/>
    </row>
    <row r="62" spans="6:21" ht="15" customHeight="1" x14ac:dyDescent="0.3">
      <c r="K62" s="95"/>
      <c r="Q62" s="95"/>
      <c r="R62" s="95"/>
      <c r="S62" s="95"/>
    </row>
    <row r="63" spans="6:21" ht="15" customHeight="1" x14ac:dyDescent="0.3">
      <c r="K63" s="95"/>
      <c r="Q63" s="95"/>
      <c r="R63" s="95"/>
      <c r="S63" s="95"/>
    </row>
    <row r="64" spans="6:21" ht="15" customHeight="1" x14ac:dyDescent="0.3">
      <c r="K64" s="95"/>
      <c r="Q64" s="95"/>
      <c r="R64" s="95"/>
      <c r="S64" s="95"/>
    </row>
    <row r="65" spans="11:19" ht="15" customHeight="1" x14ac:dyDescent="0.3">
      <c r="K65" s="95"/>
      <c r="Q65" s="95"/>
      <c r="R65" s="95"/>
      <c r="S65" s="95"/>
    </row>
    <row r="66" spans="11:19" ht="15" customHeight="1" x14ac:dyDescent="0.3">
      <c r="K66" s="95"/>
      <c r="Q66" s="95"/>
      <c r="R66" s="95"/>
      <c r="S66" s="95"/>
    </row>
    <row r="67" spans="11:19" ht="15" customHeight="1" x14ac:dyDescent="0.3">
      <c r="K67" s="95"/>
      <c r="Q67" s="95"/>
      <c r="R67" s="95"/>
      <c r="S67" s="95"/>
    </row>
    <row r="68" spans="11:19" ht="15" customHeight="1" x14ac:dyDescent="0.3">
      <c r="K68" s="95"/>
      <c r="Q68" s="95"/>
      <c r="R68" s="95"/>
      <c r="S68" s="95"/>
    </row>
    <row r="69" spans="11:19" ht="15" customHeight="1" x14ac:dyDescent="0.3">
      <c r="K69" s="95"/>
      <c r="Q69" s="95"/>
      <c r="R69" s="95"/>
      <c r="S69" s="95"/>
    </row>
    <row r="70" spans="11:19" ht="15" customHeight="1" x14ac:dyDescent="0.3">
      <c r="K70" s="95"/>
      <c r="Q70" s="95"/>
      <c r="R70" s="95"/>
      <c r="S70" s="95"/>
    </row>
    <row r="71" spans="11:19" ht="15" customHeight="1" x14ac:dyDescent="0.3">
      <c r="K71" s="95"/>
      <c r="Q71" s="95"/>
      <c r="R71" s="95"/>
      <c r="S71" s="95"/>
    </row>
    <row r="72" spans="11:19" ht="15" customHeight="1" x14ac:dyDescent="0.3">
      <c r="K72" s="95"/>
      <c r="Q72" s="95"/>
      <c r="R72" s="95"/>
      <c r="S72" s="95"/>
    </row>
    <row r="73" spans="11:19" ht="15" customHeight="1" x14ac:dyDescent="0.3">
      <c r="K73" s="95"/>
      <c r="Q73" s="95"/>
      <c r="R73" s="95"/>
      <c r="S73" s="95"/>
    </row>
    <row r="74" spans="11:19" ht="15" customHeight="1" x14ac:dyDescent="0.3">
      <c r="K74" s="95"/>
      <c r="Q74" s="95"/>
      <c r="R74" s="95"/>
      <c r="S74" s="95"/>
    </row>
    <row r="75" spans="11:19" ht="15" customHeight="1" x14ac:dyDescent="0.3">
      <c r="K75" s="95"/>
      <c r="Q75" s="95"/>
      <c r="R75" s="95"/>
      <c r="S75" s="95"/>
    </row>
    <row r="76" spans="11:19" ht="15" customHeight="1" x14ac:dyDescent="0.3">
      <c r="K76" s="95"/>
      <c r="Q76" s="95"/>
      <c r="R76" s="95"/>
      <c r="S76" s="95"/>
    </row>
    <row r="77" spans="11:19" ht="15" customHeight="1" x14ac:dyDescent="0.3">
      <c r="K77" s="95"/>
      <c r="Q77" s="95"/>
      <c r="R77" s="95"/>
      <c r="S77" s="95"/>
    </row>
    <row r="78" spans="11:19" ht="15" customHeight="1" x14ac:dyDescent="0.3">
      <c r="K78" s="95"/>
      <c r="Q78" s="95"/>
      <c r="R78" s="95"/>
      <c r="S78" s="95"/>
    </row>
    <row r="79" spans="11:19" ht="15" customHeight="1" x14ac:dyDescent="0.3">
      <c r="K79" s="95"/>
      <c r="Q79" s="95"/>
      <c r="R79" s="95"/>
      <c r="S79" s="95"/>
    </row>
    <row r="80" spans="11:19" ht="15" customHeight="1" x14ac:dyDescent="0.3">
      <c r="K80" s="95"/>
      <c r="Q80" s="95"/>
      <c r="R80" s="95"/>
      <c r="S80" s="95"/>
    </row>
    <row r="81" spans="11:19" ht="15" customHeight="1" x14ac:dyDescent="0.3">
      <c r="K81" s="95"/>
      <c r="Q81" s="95"/>
      <c r="R81" s="95"/>
      <c r="S81" s="95"/>
    </row>
    <row r="82" spans="11:19" ht="15" customHeight="1" x14ac:dyDescent="0.3">
      <c r="K82" s="95"/>
      <c r="Q82" s="95"/>
      <c r="R82" s="95"/>
      <c r="S82" s="95"/>
    </row>
    <row r="83" spans="11:19" ht="15" customHeight="1" x14ac:dyDescent="0.3">
      <c r="K83" s="95"/>
      <c r="Q83" s="95"/>
      <c r="R83" s="95"/>
      <c r="S83" s="95"/>
    </row>
    <row r="84" spans="11:19" ht="15" customHeight="1" x14ac:dyDescent="0.3">
      <c r="K84" s="95"/>
      <c r="Q84" s="95"/>
      <c r="R84" s="95"/>
      <c r="S84" s="95"/>
    </row>
    <row r="85" spans="11:19" ht="15" customHeight="1" x14ac:dyDescent="0.3">
      <c r="K85" s="95"/>
      <c r="Q85" s="95"/>
      <c r="R85" s="95"/>
      <c r="S85" s="95"/>
    </row>
    <row r="86" spans="11:19" ht="15" customHeight="1" x14ac:dyDescent="0.3">
      <c r="K86" s="95"/>
      <c r="Q86" s="95"/>
      <c r="R86" s="95"/>
      <c r="S86" s="95"/>
    </row>
    <row r="87" spans="11:19" ht="15" customHeight="1" x14ac:dyDescent="0.3">
      <c r="K87" s="95"/>
      <c r="Q87" s="95"/>
      <c r="R87" s="95"/>
      <c r="S87" s="95"/>
    </row>
    <row r="88" spans="11:19" ht="15" customHeight="1" x14ac:dyDescent="0.3">
      <c r="K88" s="95"/>
      <c r="Q88" s="95"/>
      <c r="R88" s="95"/>
      <c r="S88" s="95"/>
    </row>
    <row r="89" spans="11:19" ht="15" customHeight="1" x14ac:dyDescent="0.3">
      <c r="K89" s="95"/>
      <c r="Q89" s="95"/>
      <c r="R89" s="95"/>
      <c r="S89" s="95"/>
    </row>
    <row r="90" spans="11:19" ht="15" customHeight="1" x14ac:dyDescent="0.3">
      <c r="K90" s="95"/>
      <c r="Q90" s="95"/>
      <c r="R90" s="95"/>
      <c r="S90" s="95"/>
    </row>
    <row r="91" spans="11:19" ht="15" customHeight="1" x14ac:dyDescent="0.3">
      <c r="K91" s="95"/>
      <c r="Q91" s="95"/>
      <c r="R91" s="95"/>
      <c r="S91" s="95"/>
    </row>
    <row r="92" spans="11:19" ht="15" customHeight="1" x14ac:dyDescent="0.3">
      <c r="K92" s="95"/>
      <c r="Q92" s="95"/>
      <c r="R92" s="95"/>
      <c r="S92" s="95"/>
    </row>
    <row r="93" spans="11:19" ht="15" customHeight="1" x14ac:dyDescent="0.3">
      <c r="K93" s="95"/>
      <c r="Q93" s="95"/>
      <c r="R93" s="95"/>
      <c r="S93" s="95"/>
    </row>
    <row r="94" spans="11:19" ht="15" customHeight="1" x14ac:dyDescent="0.3">
      <c r="K94" s="95"/>
      <c r="Q94" s="95"/>
      <c r="R94" s="95"/>
      <c r="S94" s="95"/>
    </row>
    <row r="95" spans="11:19" ht="15" customHeight="1" x14ac:dyDescent="0.3">
      <c r="K95" s="95"/>
      <c r="Q95" s="95"/>
      <c r="R95" s="95"/>
      <c r="S95" s="95"/>
    </row>
    <row r="96" spans="11:19" ht="15" customHeight="1" x14ac:dyDescent="0.3">
      <c r="K96" s="95"/>
      <c r="Q96" s="95"/>
      <c r="R96" s="95"/>
      <c r="S96" s="95"/>
    </row>
    <row r="97" spans="11:19" ht="15" customHeight="1" x14ac:dyDescent="0.3">
      <c r="K97" s="95"/>
      <c r="Q97" s="95"/>
      <c r="R97" s="95"/>
      <c r="S97" s="95"/>
    </row>
    <row r="98" spans="11:19" ht="15" customHeight="1" x14ac:dyDescent="0.3">
      <c r="K98" s="95"/>
      <c r="Q98" s="95"/>
      <c r="R98" s="95"/>
      <c r="S98" s="95"/>
    </row>
    <row r="99" spans="11:19" ht="15" customHeight="1" x14ac:dyDescent="0.3">
      <c r="K99" s="95"/>
      <c r="Q99" s="95"/>
      <c r="R99" s="95"/>
      <c r="S99" s="95"/>
    </row>
    <row r="100" spans="11:19" ht="15" customHeight="1" x14ac:dyDescent="0.3">
      <c r="K100" s="95"/>
      <c r="Q100" s="95"/>
      <c r="R100" s="95"/>
      <c r="S100" s="95"/>
    </row>
    <row r="101" spans="11:19" ht="15" customHeight="1" x14ac:dyDescent="0.3">
      <c r="K101" s="95"/>
      <c r="Q101" s="95"/>
      <c r="R101" s="95"/>
      <c r="S101" s="95"/>
    </row>
    <row r="102" spans="11:19" ht="15" customHeight="1" x14ac:dyDescent="0.3">
      <c r="K102" s="95"/>
      <c r="Q102" s="95"/>
      <c r="R102" s="95"/>
      <c r="S102" s="95"/>
    </row>
    <row r="103" spans="11:19" ht="15" customHeight="1" x14ac:dyDescent="0.3">
      <c r="K103" s="95"/>
      <c r="Q103" s="95"/>
      <c r="R103" s="95"/>
      <c r="S103" s="95"/>
    </row>
    <row r="104" spans="11:19" ht="15" customHeight="1" x14ac:dyDescent="0.3">
      <c r="K104" s="95"/>
      <c r="Q104" s="95"/>
      <c r="R104" s="95"/>
      <c r="S104" s="95"/>
    </row>
    <row r="105" spans="11:19" ht="15" customHeight="1" x14ac:dyDescent="0.3">
      <c r="K105" s="95"/>
      <c r="Q105" s="95"/>
      <c r="R105" s="95"/>
      <c r="S105" s="95"/>
    </row>
    <row r="106" spans="11:19" ht="15" customHeight="1" x14ac:dyDescent="0.3">
      <c r="K106" s="95"/>
      <c r="Q106" s="95"/>
      <c r="R106" s="95"/>
      <c r="S106" s="95"/>
    </row>
    <row r="107" spans="11:19" ht="15" customHeight="1" x14ac:dyDescent="0.3">
      <c r="K107" s="95"/>
      <c r="Q107" s="95"/>
      <c r="R107" s="95"/>
      <c r="S107" s="95"/>
    </row>
    <row r="108" spans="11:19" ht="15" customHeight="1" x14ac:dyDescent="0.3">
      <c r="K108" s="95"/>
      <c r="Q108" s="95"/>
      <c r="R108" s="95"/>
      <c r="S108" s="95"/>
    </row>
    <row r="109" spans="11:19" ht="15" customHeight="1" x14ac:dyDescent="0.3">
      <c r="K109" s="95"/>
      <c r="Q109" s="95"/>
      <c r="R109" s="95"/>
      <c r="S109" s="95"/>
    </row>
    <row r="110" spans="11:19" ht="15" customHeight="1" x14ac:dyDescent="0.3">
      <c r="K110" s="95"/>
      <c r="Q110" s="95"/>
      <c r="R110" s="95"/>
      <c r="S110" s="95"/>
    </row>
    <row r="111" spans="11:19" ht="15" customHeight="1" x14ac:dyDescent="0.3">
      <c r="K111" s="95"/>
      <c r="Q111" s="95"/>
      <c r="R111" s="95"/>
      <c r="S111" s="95"/>
    </row>
    <row r="112" spans="11:19" ht="15" customHeight="1" x14ac:dyDescent="0.3">
      <c r="K112" s="95"/>
      <c r="Q112" s="95"/>
      <c r="R112" s="95"/>
      <c r="S112" s="95"/>
    </row>
    <row r="113" spans="11:19" ht="15" customHeight="1" x14ac:dyDescent="0.3">
      <c r="K113" s="95"/>
      <c r="Q113" s="95"/>
      <c r="R113" s="95"/>
      <c r="S113" s="95"/>
    </row>
    <row r="114" spans="11:19" ht="15" customHeight="1" x14ac:dyDescent="0.3">
      <c r="K114" s="95"/>
      <c r="Q114" s="95"/>
      <c r="R114" s="95"/>
      <c r="S114" s="95"/>
    </row>
    <row r="115" spans="11:19" ht="15" customHeight="1" x14ac:dyDescent="0.3">
      <c r="K115" s="95"/>
      <c r="Q115" s="95"/>
      <c r="R115" s="95"/>
      <c r="S115" s="95"/>
    </row>
    <row r="116" spans="11:19" ht="15" customHeight="1" x14ac:dyDescent="0.3">
      <c r="K116" s="95"/>
      <c r="Q116" s="95"/>
      <c r="R116" s="95"/>
      <c r="S116" s="95"/>
    </row>
    <row r="117" spans="11:19" ht="15" customHeight="1" x14ac:dyDescent="0.3">
      <c r="K117" s="95"/>
      <c r="Q117" s="95"/>
      <c r="R117" s="95"/>
      <c r="S117" s="95"/>
    </row>
    <row r="118" spans="11:19" ht="15" customHeight="1" x14ac:dyDescent="0.3">
      <c r="K118" s="95"/>
      <c r="Q118" s="95"/>
      <c r="R118" s="95"/>
      <c r="S118" s="95"/>
    </row>
    <row r="119" spans="11:19" ht="15" customHeight="1" x14ac:dyDescent="0.3">
      <c r="K119" s="95"/>
      <c r="Q119" s="95"/>
      <c r="R119" s="95"/>
      <c r="S119" s="95"/>
    </row>
    <row r="120" spans="11:19" ht="15" customHeight="1" x14ac:dyDescent="0.3">
      <c r="K120" s="95"/>
      <c r="Q120" s="95"/>
      <c r="R120" s="95"/>
      <c r="S120" s="95"/>
    </row>
    <row r="121" spans="11:19" ht="15" customHeight="1" x14ac:dyDescent="0.3">
      <c r="K121" s="95"/>
      <c r="Q121" s="95"/>
      <c r="R121" s="95"/>
      <c r="S121" s="95"/>
    </row>
    <row r="122" spans="11:19" ht="15" customHeight="1" x14ac:dyDescent="0.3">
      <c r="K122" s="95"/>
      <c r="Q122" s="95"/>
      <c r="R122" s="95"/>
      <c r="S122" s="95"/>
    </row>
    <row r="123" spans="11:19" ht="15" customHeight="1" x14ac:dyDescent="0.3">
      <c r="K123" s="95"/>
      <c r="Q123" s="95"/>
      <c r="R123" s="95"/>
      <c r="S123" s="95"/>
    </row>
    <row r="124" spans="11:19" ht="15" customHeight="1" x14ac:dyDescent="0.3">
      <c r="K124" s="95"/>
      <c r="Q124" s="95"/>
      <c r="R124" s="95"/>
      <c r="S124" s="95"/>
    </row>
    <row r="125" spans="11:19" ht="15" customHeight="1" x14ac:dyDescent="0.3">
      <c r="K125" s="95"/>
      <c r="Q125" s="95"/>
      <c r="R125" s="95"/>
      <c r="S125" s="95"/>
    </row>
    <row r="126" spans="11:19" ht="15" customHeight="1" x14ac:dyDescent="0.3">
      <c r="K126" s="95"/>
      <c r="Q126" s="95"/>
      <c r="R126" s="95"/>
      <c r="S126" s="95"/>
    </row>
    <row r="127" spans="11:19" ht="15" customHeight="1" x14ac:dyDescent="0.3">
      <c r="K127" s="95"/>
      <c r="Q127" s="95"/>
      <c r="R127" s="95"/>
      <c r="S127" s="95"/>
    </row>
    <row r="128" spans="11:19" ht="15" customHeight="1" x14ac:dyDescent="0.3">
      <c r="K128" s="95"/>
      <c r="Q128" s="95"/>
      <c r="R128" s="95"/>
      <c r="S128" s="95"/>
    </row>
    <row r="129" spans="11:19" ht="15" customHeight="1" x14ac:dyDescent="0.3">
      <c r="K129" s="95"/>
      <c r="Q129" s="95"/>
      <c r="R129" s="95"/>
      <c r="S129" s="95"/>
    </row>
    <row r="130" spans="11:19" ht="15" customHeight="1" x14ac:dyDescent="0.3">
      <c r="K130" s="95"/>
      <c r="Q130" s="95"/>
      <c r="R130" s="95"/>
      <c r="S130" s="95"/>
    </row>
    <row r="131" spans="11:19" ht="15" customHeight="1" x14ac:dyDescent="0.3">
      <c r="K131" s="95"/>
      <c r="Q131" s="95"/>
      <c r="R131" s="95"/>
      <c r="S131" s="95"/>
    </row>
    <row r="132" spans="11:19" ht="15" customHeight="1" x14ac:dyDescent="0.3">
      <c r="K132" s="95"/>
      <c r="Q132" s="95"/>
      <c r="R132" s="95"/>
      <c r="S132" s="95"/>
    </row>
    <row r="133" spans="11:19" ht="15" customHeight="1" x14ac:dyDescent="0.3">
      <c r="K133" s="95"/>
      <c r="Q133" s="95"/>
      <c r="R133" s="95"/>
      <c r="S133" s="95"/>
    </row>
    <row r="134" spans="11:19" ht="15" customHeight="1" x14ac:dyDescent="0.3">
      <c r="K134" s="95"/>
      <c r="Q134" s="95"/>
      <c r="R134" s="95"/>
      <c r="S134" s="95"/>
    </row>
    <row r="135" spans="11:19" ht="15" customHeight="1" x14ac:dyDescent="0.3">
      <c r="K135" s="95"/>
      <c r="Q135" s="95"/>
      <c r="R135" s="95"/>
      <c r="S135" s="95"/>
    </row>
    <row r="136" spans="11:19" ht="15" customHeight="1" x14ac:dyDescent="0.3">
      <c r="K136" s="95"/>
      <c r="Q136" s="95"/>
      <c r="R136" s="95"/>
      <c r="S136" s="95"/>
    </row>
    <row r="137" spans="11:19" ht="15" customHeight="1" x14ac:dyDescent="0.3">
      <c r="K137" s="95"/>
      <c r="Q137" s="95"/>
      <c r="R137" s="95"/>
      <c r="S137" s="95"/>
    </row>
    <row r="138" spans="11:19" ht="15" customHeight="1" x14ac:dyDescent="0.3">
      <c r="K138" s="95"/>
      <c r="Q138" s="95"/>
      <c r="R138" s="95"/>
      <c r="S138" s="95"/>
    </row>
    <row r="139" spans="11:19" ht="15" customHeight="1" x14ac:dyDescent="0.3">
      <c r="K139" s="95"/>
      <c r="Q139" s="95"/>
      <c r="R139" s="95"/>
      <c r="S139" s="95"/>
    </row>
    <row r="140" spans="11:19" ht="15" customHeight="1" x14ac:dyDescent="0.3">
      <c r="K140" s="95"/>
      <c r="Q140" s="95"/>
      <c r="R140" s="95"/>
      <c r="S140" s="95"/>
    </row>
    <row r="141" spans="11:19" ht="15" customHeight="1" x14ac:dyDescent="0.3">
      <c r="K141" s="95"/>
      <c r="Q141" s="95"/>
      <c r="R141" s="95"/>
      <c r="S141" s="95"/>
    </row>
    <row r="142" spans="11:19" ht="15" customHeight="1" x14ac:dyDescent="0.3">
      <c r="K142" s="95"/>
      <c r="Q142" s="95"/>
      <c r="R142" s="95"/>
      <c r="S142" s="95"/>
    </row>
    <row r="143" spans="11:19" ht="15" customHeight="1" x14ac:dyDescent="0.3">
      <c r="K143" s="95"/>
      <c r="Q143" s="95"/>
      <c r="R143" s="95"/>
      <c r="S143" s="95"/>
    </row>
    <row r="144" spans="11:19" ht="15" customHeight="1" x14ac:dyDescent="0.3">
      <c r="K144" s="95"/>
      <c r="Q144" s="95"/>
      <c r="R144" s="95"/>
      <c r="S144" s="95"/>
    </row>
    <row r="145" spans="11:19" ht="15" customHeight="1" x14ac:dyDescent="0.3">
      <c r="K145" s="95"/>
      <c r="Q145" s="95"/>
      <c r="R145" s="95"/>
      <c r="S145" s="95"/>
    </row>
    <row r="146" spans="11:19" ht="15" customHeight="1" x14ac:dyDescent="0.3">
      <c r="K146" s="95"/>
      <c r="Q146" s="95"/>
      <c r="R146" s="95"/>
      <c r="S146" s="95"/>
    </row>
    <row r="147" spans="11:19" ht="15" customHeight="1" x14ac:dyDescent="0.3">
      <c r="K147" s="95"/>
      <c r="Q147" s="95"/>
      <c r="R147" s="95"/>
      <c r="S147" s="95"/>
    </row>
    <row r="148" spans="11:19" ht="15" customHeight="1" x14ac:dyDescent="0.3">
      <c r="K148" s="95"/>
      <c r="Q148" s="95"/>
      <c r="R148" s="95"/>
      <c r="S148" s="95"/>
    </row>
    <row r="149" spans="11:19" ht="15" customHeight="1" x14ac:dyDescent="0.3">
      <c r="K149" s="95"/>
      <c r="Q149" s="95"/>
      <c r="R149" s="95"/>
      <c r="S149" s="95"/>
    </row>
    <row r="150" spans="11:19" ht="15" customHeight="1" x14ac:dyDescent="0.3">
      <c r="K150" s="95"/>
      <c r="Q150" s="95"/>
      <c r="R150" s="95"/>
      <c r="S150" s="95"/>
    </row>
    <row r="151" spans="11:19" ht="15" customHeight="1" x14ac:dyDescent="0.3">
      <c r="K151" s="95"/>
      <c r="Q151" s="95"/>
      <c r="R151" s="95"/>
      <c r="S151" s="95"/>
    </row>
    <row r="152" spans="11:19" ht="15" customHeight="1" x14ac:dyDescent="0.3">
      <c r="K152" s="95"/>
      <c r="Q152" s="95"/>
      <c r="R152" s="95"/>
      <c r="S152" s="95"/>
    </row>
    <row r="153" spans="11:19" ht="15" customHeight="1" x14ac:dyDescent="0.3">
      <c r="K153" s="95"/>
      <c r="Q153" s="95"/>
      <c r="R153" s="95"/>
      <c r="S153" s="95"/>
    </row>
    <row r="154" spans="11:19" ht="15" customHeight="1" x14ac:dyDescent="0.3">
      <c r="K154" s="95"/>
      <c r="Q154" s="95"/>
      <c r="R154" s="95"/>
      <c r="S154" s="95"/>
    </row>
    <row r="155" spans="11:19" ht="15" customHeight="1" x14ac:dyDescent="0.3">
      <c r="K155" s="95"/>
      <c r="Q155" s="95"/>
      <c r="R155" s="95"/>
      <c r="S155" s="95"/>
    </row>
    <row r="156" spans="11:19" ht="15" customHeight="1" x14ac:dyDescent="0.3">
      <c r="K156" s="95"/>
      <c r="Q156" s="95"/>
      <c r="R156" s="95"/>
      <c r="S156" s="95"/>
    </row>
    <row r="157" spans="11:19" ht="15" customHeight="1" x14ac:dyDescent="0.3">
      <c r="K157" s="95"/>
      <c r="Q157" s="95"/>
      <c r="R157" s="95"/>
      <c r="S157" s="95"/>
    </row>
    <row r="158" spans="11:19" ht="15" customHeight="1" x14ac:dyDescent="0.3">
      <c r="K158" s="95"/>
    </row>
    <row r="159" spans="11:19" ht="15" customHeight="1" x14ac:dyDescent="0.3">
      <c r="K159" s="95"/>
    </row>
    <row r="160" spans="11:19" ht="15" customHeight="1" x14ac:dyDescent="0.3">
      <c r="K160" s="95"/>
    </row>
    <row r="161" spans="11:11" ht="15" customHeight="1" x14ac:dyDescent="0.3">
      <c r="K161" s="95"/>
    </row>
    <row r="162" spans="11:11" ht="15" customHeight="1" x14ac:dyDescent="0.3">
      <c r="K162" s="95"/>
    </row>
    <row r="163" spans="11:11" ht="15" customHeight="1" x14ac:dyDescent="0.3">
      <c r="K163" s="95"/>
    </row>
    <row r="164" spans="11:11" ht="15" customHeight="1" x14ac:dyDescent="0.3">
      <c r="K164" s="95"/>
    </row>
    <row r="165" spans="11:11" ht="15" customHeight="1" x14ac:dyDescent="0.3">
      <c r="K165" s="95"/>
    </row>
    <row r="166" spans="11:11" ht="15" customHeight="1" x14ac:dyDescent="0.3">
      <c r="K166" s="95"/>
    </row>
    <row r="167" spans="11:11" ht="15" customHeight="1" x14ac:dyDescent="0.3">
      <c r="K167" s="95"/>
    </row>
    <row r="168" spans="11:11" ht="15" customHeight="1" x14ac:dyDescent="0.3">
      <c r="K168" s="95"/>
    </row>
    <row r="169" spans="11:11" ht="15" customHeight="1" x14ac:dyDescent="0.3">
      <c r="K169" s="95"/>
    </row>
    <row r="170" spans="11:11" ht="15" customHeight="1" x14ac:dyDescent="0.3">
      <c r="K170" s="95"/>
    </row>
    <row r="171" spans="11:11" ht="15" customHeight="1" x14ac:dyDescent="0.3">
      <c r="K171" s="95"/>
    </row>
    <row r="172" spans="11:11" ht="15" customHeight="1" x14ac:dyDescent="0.3">
      <c r="K172" s="95"/>
    </row>
    <row r="173" spans="11:11" ht="15" customHeight="1" x14ac:dyDescent="0.3">
      <c r="K173" s="95"/>
    </row>
    <row r="174" spans="11:11" ht="15" customHeight="1" x14ac:dyDescent="0.3">
      <c r="K174" s="95"/>
    </row>
    <row r="175" spans="11:11" ht="15" customHeight="1" x14ac:dyDescent="0.3">
      <c r="K175" s="95"/>
    </row>
    <row r="176" spans="11:11" ht="15" customHeight="1" x14ac:dyDescent="0.3">
      <c r="K176" s="95"/>
    </row>
    <row r="177" spans="11:11" ht="15" customHeight="1" x14ac:dyDescent="0.3">
      <c r="K177" s="95"/>
    </row>
    <row r="178" spans="11:11" ht="15" customHeight="1" x14ac:dyDescent="0.3">
      <c r="K178" s="95"/>
    </row>
    <row r="179" spans="11:11" ht="15" customHeight="1" x14ac:dyDescent="0.3">
      <c r="K179" s="95"/>
    </row>
    <row r="180" spans="11:11" ht="15" customHeight="1" x14ac:dyDescent="0.3">
      <c r="K180" s="95"/>
    </row>
    <row r="181" spans="11:11" ht="15" customHeight="1" x14ac:dyDescent="0.3">
      <c r="K181" s="95"/>
    </row>
    <row r="182" spans="11:11" ht="15" customHeight="1" x14ac:dyDescent="0.3">
      <c r="K182" s="95"/>
    </row>
    <row r="183" spans="11:11" ht="15" customHeight="1" x14ac:dyDescent="0.3">
      <c r="K183" s="95"/>
    </row>
    <row r="184" spans="11:11" ht="15" customHeight="1" x14ac:dyDescent="0.3">
      <c r="K184" s="95"/>
    </row>
    <row r="185" spans="11:11" ht="15" customHeight="1" x14ac:dyDescent="0.3">
      <c r="K185" s="95"/>
    </row>
    <row r="186" spans="11:11" ht="15" customHeight="1" x14ac:dyDescent="0.3">
      <c r="K186" s="95"/>
    </row>
    <row r="187" spans="11:11" ht="15" customHeight="1" x14ac:dyDescent="0.3">
      <c r="K187" s="95"/>
    </row>
    <row r="188" spans="11:11" ht="15" customHeight="1" x14ac:dyDescent="0.3">
      <c r="K188" s="95"/>
    </row>
    <row r="189" spans="11:11" ht="15" customHeight="1" x14ac:dyDescent="0.3">
      <c r="K189" s="95"/>
    </row>
    <row r="190" spans="11:11" ht="15" customHeight="1" x14ac:dyDescent="0.3">
      <c r="K190" s="95"/>
    </row>
    <row r="191" spans="11:11" ht="15" customHeight="1" x14ac:dyDescent="0.3">
      <c r="K191" s="95"/>
    </row>
    <row r="192" spans="11:11" ht="15" customHeight="1" x14ac:dyDescent="0.3">
      <c r="K192" s="95"/>
    </row>
    <row r="193" spans="11:11" ht="15" customHeight="1" x14ac:dyDescent="0.3">
      <c r="K193" s="95"/>
    </row>
    <row r="194" spans="11:11" ht="15" customHeight="1" x14ac:dyDescent="0.3">
      <c r="K194" s="95"/>
    </row>
    <row r="195" spans="11:11" ht="15" customHeight="1" x14ac:dyDescent="0.3">
      <c r="K195" s="95"/>
    </row>
    <row r="196" spans="11:11" ht="15" customHeight="1" x14ac:dyDescent="0.3">
      <c r="K196" s="95"/>
    </row>
    <row r="197" spans="11:11" ht="15" customHeight="1" x14ac:dyDescent="0.3">
      <c r="K197" s="95"/>
    </row>
    <row r="198" spans="11:11" ht="15" customHeight="1" x14ac:dyDescent="0.3">
      <c r="K198" s="95"/>
    </row>
    <row r="199" spans="11:11" ht="15" customHeight="1" x14ac:dyDescent="0.3">
      <c r="K199" s="95"/>
    </row>
    <row r="200" spans="11:11" ht="15" customHeight="1" x14ac:dyDescent="0.3">
      <c r="K200" s="95"/>
    </row>
    <row r="201" spans="11:11" ht="15" customHeight="1" x14ac:dyDescent="0.3">
      <c r="K201" s="95"/>
    </row>
    <row r="202" spans="11:11" ht="15" customHeight="1" x14ac:dyDescent="0.3">
      <c r="K202" s="95"/>
    </row>
    <row r="203" spans="11:11" ht="15" customHeight="1" x14ac:dyDescent="0.3">
      <c r="K203" s="95"/>
    </row>
    <row r="204" spans="11:11" ht="15" customHeight="1" x14ac:dyDescent="0.3">
      <c r="K204" s="95"/>
    </row>
    <row r="205" spans="11:11" ht="15" customHeight="1" x14ac:dyDescent="0.3">
      <c r="K205" s="95"/>
    </row>
    <row r="206" spans="11:11" ht="15" customHeight="1" x14ac:dyDescent="0.3">
      <c r="K206" s="95"/>
    </row>
    <row r="207" spans="11:11" ht="15" customHeight="1" x14ac:dyDescent="0.3">
      <c r="K207" s="95"/>
    </row>
    <row r="208" spans="11:11" ht="15" customHeight="1" x14ac:dyDescent="0.3">
      <c r="K208" s="95"/>
    </row>
    <row r="209" spans="11:11" ht="15" customHeight="1" x14ac:dyDescent="0.3">
      <c r="K209" s="95"/>
    </row>
    <row r="210" spans="11:11" ht="15" customHeight="1" x14ac:dyDescent="0.3">
      <c r="K210" s="95"/>
    </row>
    <row r="211" spans="11:11" ht="15" customHeight="1" x14ac:dyDescent="0.3">
      <c r="K211" s="95"/>
    </row>
    <row r="212" spans="11:11" ht="15" customHeight="1" x14ac:dyDescent="0.3">
      <c r="K212" s="95"/>
    </row>
    <row r="213" spans="11:11" ht="15" customHeight="1" x14ac:dyDescent="0.3">
      <c r="K213" s="95"/>
    </row>
    <row r="214" spans="11:11" ht="15" customHeight="1" x14ac:dyDescent="0.3">
      <c r="K214" s="95"/>
    </row>
    <row r="215" spans="11:11" ht="15" customHeight="1" x14ac:dyDescent="0.3">
      <c r="K215" s="95"/>
    </row>
    <row r="216" spans="11:11" ht="15" customHeight="1" x14ac:dyDescent="0.3">
      <c r="K216" s="95"/>
    </row>
    <row r="217" spans="11:11" ht="15" customHeight="1" x14ac:dyDescent="0.3">
      <c r="K217" s="95"/>
    </row>
    <row r="218" spans="11:11" ht="15" customHeight="1" x14ac:dyDescent="0.3">
      <c r="K218" s="95"/>
    </row>
    <row r="219" spans="11:11" ht="15" customHeight="1" x14ac:dyDescent="0.3">
      <c r="K219" s="95"/>
    </row>
    <row r="220" spans="11:11" ht="15" customHeight="1" x14ac:dyDescent="0.3">
      <c r="K220" s="95"/>
    </row>
    <row r="221" spans="11:11" ht="15" customHeight="1" x14ac:dyDescent="0.3">
      <c r="K221" s="95"/>
    </row>
    <row r="222" spans="11:11" ht="15" customHeight="1" x14ac:dyDescent="0.3">
      <c r="K222" s="95"/>
    </row>
    <row r="223" spans="11:11" ht="15" customHeight="1" x14ac:dyDescent="0.3">
      <c r="K223" s="95"/>
    </row>
    <row r="224" spans="11:11" ht="15" customHeight="1" x14ac:dyDescent="0.3">
      <c r="K224" s="95"/>
    </row>
    <row r="225" spans="11:11" ht="15" customHeight="1" x14ac:dyDescent="0.3">
      <c r="K225" s="95"/>
    </row>
    <row r="226" spans="11:11" ht="15" customHeight="1" x14ac:dyDescent="0.3">
      <c r="K226" s="95"/>
    </row>
    <row r="227" spans="11:11" ht="15" customHeight="1" x14ac:dyDescent="0.3">
      <c r="K227" s="95"/>
    </row>
    <row r="228" spans="11:11" ht="15" customHeight="1" x14ac:dyDescent="0.3">
      <c r="K228" s="95"/>
    </row>
    <row r="229" spans="11:11" ht="15" customHeight="1" x14ac:dyDescent="0.3">
      <c r="K229" s="95"/>
    </row>
    <row r="230" spans="11:11" ht="15" customHeight="1" x14ac:dyDescent="0.3">
      <c r="K230" s="95"/>
    </row>
    <row r="231" spans="11:11" ht="15" customHeight="1" x14ac:dyDescent="0.3">
      <c r="K231" s="95"/>
    </row>
    <row r="232" spans="11:11" ht="15" customHeight="1" x14ac:dyDescent="0.3">
      <c r="K232" s="95"/>
    </row>
    <row r="233" spans="11:11" ht="15" customHeight="1" x14ac:dyDescent="0.3">
      <c r="K233" s="95"/>
    </row>
    <row r="234" spans="11:11" ht="15" customHeight="1" x14ac:dyDescent="0.3">
      <c r="K234" s="95"/>
    </row>
    <row r="235" spans="11:11" ht="15" customHeight="1" x14ac:dyDescent="0.3">
      <c r="K235" s="95"/>
    </row>
    <row r="236" spans="11:11" ht="15" customHeight="1" x14ac:dyDescent="0.3">
      <c r="K236" s="95"/>
    </row>
    <row r="237" spans="11:11" ht="15" customHeight="1" x14ac:dyDescent="0.3">
      <c r="K237" s="95"/>
    </row>
    <row r="238" spans="11:11" ht="15" customHeight="1" x14ac:dyDescent="0.3">
      <c r="K238" s="95"/>
    </row>
    <row r="239" spans="11:11" ht="15" customHeight="1" x14ac:dyDescent="0.3">
      <c r="K239" s="95"/>
    </row>
    <row r="240" spans="11:11" ht="15" customHeight="1" x14ac:dyDescent="0.3">
      <c r="K240" s="95"/>
    </row>
    <row r="241" spans="11:11" ht="15" customHeight="1" x14ac:dyDescent="0.3">
      <c r="K241" s="95"/>
    </row>
    <row r="242" spans="11:11" ht="15" customHeight="1" x14ac:dyDescent="0.3">
      <c r="K242" s="95"/>
    </row>
    <row r="243" spans="11:11" ht="15" customHeight="1" x14ac:dyDescent="0.3">
      <c r="K243" s="95"/>
    </row>
    <row r="244" spans="11:11" ht="15" customHeight="1" x14ac:dyDescent="0.3">
      <c r="K244" s="95"/>
    </row>
    <row r="245" spans="11:11" ht="15" customHeight="1" x14ac:dyDescent="0.3">
      <c r="K245" s="95"/>
    </row>
    <row r="246" spans="11:11" ht="15" customHeight="1" x14ac:dyDescent="0.3">
      <c r="K246" s="95"/>
    </row>
    <row r="247" spans="11:11" ht="15" customHeight="1" x14ac:dyDescent="0.3">
      <c r="K247" s="95"/>
    </row>
    <row r="248" spans="11:11" ht="15" customHeight="1" x14ac:dyDescent="0.3">
      <c r="K248" s="95"/>
    </row>
    <row r="249" spans="11:11" ht="15" customHeight="1" x14ac:dyDescent="0.3">
      <c r="K249" s="95"/>
    </row>
    <row r="250" spans="11:11" ht="15" customHeight="1" x14ac:dyDescent="0.3">
      <c r="K250" s="95"/>
    </row>
    <row r="251" spans="11:11" ht="15" customHeight="1" x14ac:dyDescent="0.3">
      <c r="K251" s="95"/>
    </row>
    <row r="252" spans="11:11" ht="15" customHeight="1" x14ac:dyDescent="0.3">
      <c r="K252" s="95"/>
    </row>
    <row r="253" spans="11:11" ht="15" customHeight="1" x14ac:dyDescent="0.3">
      <c r="K253" s="95"/>
    </row>
    <row r="254" spans="11:11" ht="15" customHeight="1" x14ac:dyDescent="0.3">
      <c r="K254" s="95"/>
    </row>
    <row r="255" spans="11:11" ht="15" customHeight="1" x14ac:dyDescent="0.3">
      <c r="K255" s="95"/>
    </row>
    <row r="256" spans="11:11" ht="15" customHeight="1" x14ac:dyDescent="0.3">
      <c r="K256" s="95"/>
    </row>
    <row r="257" spans="11:11" ht="15" customHeight="1" x14ac:dyDescent="0.3">
      <c r="K257" s="95"/>
    </row>
    <row r="258" spans="11:11" ht="15" customHeight="1" x14ac:dyDescent="0.3">
      <c r="K258" s="95"/>
    </row>
    <row r="259" spans="11:11" ht="15" customHeight="1" x14ac:dyDescent="0.3">
      <c r="K259" s="95"/>
    </row>
    <row r="260" spans="11:11" ht="15" customHeight="1" x14ac:dyDescent="0.3">
      <c r="K260" s="95"/>
    </row>
    <row r="261" spans="11:11" ht="15" customHeight="1" x14ac:dyDescent="0.3">
      <c r="K261" s="95"/>
    </row>
    <row r="262" spans="11:11" ht="15" customHeight="1" x14ac:dyDescent="0.3">
      <c r="K262" s="95"/>
    </row>
    <row r="263" spans="11:11" ht="15" customHeight="1" x14ac:dyDescent="0.3">
      <c r="K263" s="95"/>
    </row>
    <row r="264" spans="11:11" ht="15" customHeight="1" x14ac:dyDescent="0.3">
      <c r="K264" s="95"/>
    </row>
    <row r="265" spans="11:11" ht="15" customHeight="1" x14ac:dyDescent="0.3">
      <c r="K265" s="95"/>
    </row>
    <row r="266" spans="11:11" ht="15" customHeight="1" x14ac:dyDescent="0.3">
      <c r="K266" s="95"/>
    </row>
    <row r="267" spans="11:11" ht="15" customHeight="1" x14ac:dyDescent="0.3">
      <c r="K267" s="95"/>
    </row>
    <row r="268" spans="11:11" ht="15" customHeight="1" x14ac:dyDescent="0.3">
      <c r="K268" s="95"/>
    </row>
    <row r="269" spans="11:11" ht="15" customHeight="1" x14ac:dyDescent="0.3">
      <c r="K269" s="95"/>
    </row>
    <row r="270" spans="11:11" ht="15" customHeight="1" x14ac:dyDescent="0.3">
      <c r="K270" s="95"/>
    </row>
    <row r="271" spans="11:11" ht="15" customHeight="1" x14ac:dyDescent="0.3">
      <c r="K271" s="95"/>
    </row>
    <row r="272" spans="11:11" ht="15" customHeight="1" x14ac:dyDescent="0.3">
      <c r="K272" s="95"/>
    </row>
    <row r="273" spans="11:11" ht="15" customHeight="1" x14ac:dyDescent="0.3">
      <c r="K273" s="95"/>
    </row>
    <row r="274" spans="11:11" ht="15" customHeight="1" x14ac:dyDescent="0.3">
      <c r="K274" s="95"/>
    </row>
    <row r="275" spans="11:11" ht="15" customHeight="1" x14ac:dyDescent="0.3">
      <c r="K275" s="95"/>
    </row>
    <row r="276" spans="11:11" ht="15" customHeight="1" x14ac:dyDescent="0.3">
      <c r="K276" s="95"/>
    </row>
    <row r="277" spans="11:11" ht="15" customHeight="1" x14ac:dyDescent="0.3">
      <c r="K277" s="95"/>
    </row>
    <row r="278" spans="11:11" ht="15" customHeight="1" x14ac:dyDescent="0.3">
      <c r="K278" s="95"/>
    </row>
    <row r="279" spans="11:11" ht="15" customHeight="1" x14ac:dyDescent="0.3">
      <c r="K279" s="95"/>
    </row>
    <row r="280" spans="11:11" ht="15" customHeight="1" x14ac:dyDescent="0.3">
      <c r="K280" s="95"/>
    </row>
    <row r="281" spans="11:11" ht="15" customHeight="1" x14ac:dyDescent="0.3">
      <c r="K281" s="95"/>
    </row>
    <row r="282" spans="11:11" ht="15" customHeight="1" x14ac:dyDescent="0.3">
      <c r="K282" s="95"/>
    </row>
  </sheetData>
  <mergeCells count="5">
    <mergeCell ref="Q39:S39"/>
    <mergeCell ref="E43:G44"/>
    <mergeCell ref="E45:G48"/>
    <mergeCell ref="J40:K40"/>
    <mergeCell ref="J41:K41"/>
  </mergeCells>
  <pageMargins left="0.75" right="0.75" top="1" bottom="1" header="0.5" footer="0.5"/>
  <pageSetup scale="17" orientation="portrait" horizontalDpi="4294967292" verticalDpi="4294967292" r:id="rId1"/>
  <headerFooter>
    <oddFooter>&amp;L&amp;"Helvetica,Regular"&amp;12&amp;K000000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1D708-BF82-41DE-84B7-21F855AF0CD6}">
  <sheetPr>
    <tabColor rgb="FFFF0000"/>
    <pageSetUpPr fitToPage="1"/>
  </sheetPr>
  <dimension ref="A1:IQ72"/>
  <sheetViews>
    <sheetView showGridLines="0" zoomScale="85" zoomScaleNormal="85" workbookViewId="0">
      <pane xSplit="2" ySplit="2" topLeftCell="C3" activePane="bottomRight" state="frozen"/>
      <selection pane="topRight" activeCell="C1" sqref="C1"/>
      <selection pane="bottomLeft" activeCell="A3" sqref="A3"/>
      <selection pane="bottomRight"/>
    </sheetView>
  </sheetViews>
  <sheetFormatPr defaultColWidth="26.6640625" defaultRowHeight="15" customHeight="1" x14ac:dyDescent="0.3"/>
  <cols>
    <col min="1" max="1" width="3.19921875" style="58" bestFit="1" customWidth="1"/>
    <col min="2" max="2" width="9.06640625" style="58" bestFit="1" customWidth="1"/>
    <col min="3" max="3" width="7.06640625" style="58" bestFit="1" customWidth="1"/>
    <col min="4" max="4" width="10.59765625" style="58" bestFit="1" customWidth="1"/>
    <col min="5" max="5" width="11.6640625" style="58" bestFit="1" customWidth="1"/>
    <col min="6" max="6" width="13.59765625" style="58" customWidth="1"/>
    <col min="7" max="7" width="20.33203125" style="58" customWidth="1"/>
    <col min="8" max="9" width="15" style="58" hidden="1" customWidth="1"/>
    <col min="10" max="10" width="12" style="90" bestFit="1" customWidth="1"/>
    <col min="11" max="11" width="15.265625" style="58" customWidth="1"/>
    <col min="12" max="12" width="12" style="58" customWidth="1"/>
    <col min="13" max="13" width="13.06640625" style="58" customWidth="1"/>
    <col min="14" max="15" width="13.6640625" style="58" customWidth="1"/>
    <col min="16" max="16" width="13.19921875" style="58" customWidth="1"/>
    <col min="17" max="17" width="17.3984375" style="58" customWidth="1"/>
    <col min="18" max="18" width="10.46484375" style="58" customWidth="1"/>
    <col min="19" max="251" width="26.6640625" style="58" customWidth="1"/>
    <col min="252" max="16384" width="26.6640625" style="91"/>
  </cols>
  <sheetData>
    <row r="1" spans="1:18" ht="15.75" customHeight="1" thickBot="1" x14ac:dyDescent="0.4">
      <c r="A1" s="53" t="s">
        <v>3</v>
      </c>
      <c r="B1" s="53" t="s">
        <v>4</v>
      </c>
      <c r="C1" s="53" t="s">
        <v>5</v>
      </c>
      <c r="D1" s="53" t="s">
        <v>6</v>
      </c>
      <c r="E1" s="53" t="s">
        <v>7</v>
      </c>
      <c r="F1" s="53" t="s">
        <v>8</v>
      </c>
      <c r="G1" s="53" t="s">
        <v>35</v>
      </c>
      <c r="H1" s="100" t="s">
        <v>36</v>
      </c>
      <c r="I1" s="55" t="s">
        <v>37</v>
      </c>
      <c r="J1" s="53" t="s">
        <v>38</v>
      </c>
      <c r="K1" s="53" t="s">
        <v>39</v>
      </c>
      <c r="L1" s="53" t="s">
        <v>40</v>
      </c>
      <c r="M1" s="53" t="s">
        <v>41</v>
      </c>
      <c r="N1" s="53" t="s">
        <v>42</v>
      </c>
      <c r="O1" s="53" t="s">
        <v>43</v>
      </c>
      <c r="P1" s="53" t="s">
        <v>44</v>
      </c>
      <c r="Q1" s="53" t="s">
        <v>45</v>
      </c>
      <c r="R1" s="53" t="s">
        <v>46</v>
      </c>
    </row>
    <row r="2" spans="1:18" ht="145" x14ac:dyDescent="0.35">
      <c r="A2" s="59" t="s">
        <v>0</v>
      </c>
      <c r="B2" s="182" t="s">
        <v>124</v>
      </c>
      <c r="C2" s="183" t="s">
        <v>122</v>
      </c>
      <c r="D2" s="183" t="s">
        <v>52</v>
      </c>
      <c r="E2" s="183" t="s">
        <v>123</v>
      </c>
      <c r="F2" s="183" t="s">
        <v>155</v>
      </c>
      <c r="G2" s="184" t="s">
        <v>53</v>
      </c>
      <c r="H2" s="183" t="s">
        <v>54</v>
      </c>
      <c r="I2" s="183" t="s">
        <v>55</v>
      </c>
      <c r="J2" s="185" t="s">
        <v>183</v>
      </c>
      <c r="K2" s="183" t="str">
        <f>'Truck Elimination (Inbound)'!O2</f>
        <v>Price/Gallon of Diesel Fuel (U.S. Energy Information Administration Annual Energy November 2022 Actuals, Held Constant to be Conservative)</v>
      </c>
      <c r="L2" s="186" t="s">
        <v>56</v>
      </c>
      <c r="M2" s="184" t="s">
        <v>125</v>
      </c>
      <c r="N2" s="184" t="s">
        <v>156</v>
      </c>
      <c r="O2" s="184" t="s">
        <v>157</v>
      </c>
      <c r="P2" s="184" t="s">
        <v>158</v>
      </c>
      <c r="Q2" s="60" t="s">
        <v>57</v>
      </c>
      <c r="R2" s="63" t="s">
        <v>2</v>
      </c>
    </row>
    <row r="3" spans="1:18" s="58" customFormat="1" ht="17.25" customHeight="1" x14ac:dyDescent="0.35">
      <c r="A3" s="101">
        <v>0</v>
      </c>
      <c r="B3" s="65">
        <v>2020</v>
      </c>
      <c r="C3" s="102"/>
      <c r="D3" s="102"/>
      <c r="E3" s="102"/>
      <c r="F3" s="103"/>
      <c r="G3" s="104"/>
      <c r="H3" s="105"/>
      <c r="I3" s="105"/>
      <c r="J3" s="102"/>
      <c r="K3" s="106"/>
      <c r="L3" s="105"/>
      <c r="M3" s="104"/>
      <c r="N3" s="69"/>
      <c r="O3" s="69"/>
      <c r="P3" s="69"/>
      <c r="Q3" s="105"/>
      <c r="R3" s="105"/>
    </row>
    <row r="4" spans="1:18" s="58" customFormat="1" ht="17.25" customHeight="1" x14ac:dyDescent="0.35">
      <c r="A4" s="101">
        <v>1</v>
      </c>
      <c r="B4" s="65">
        <v>2021</v>
      </c>
      <c r="C4" s="102"/>
      <c r="D4" s="102"/>
      <c r="E4" s="102"/>
      <c r="F4" s="103"/>
      <c r="G4" s="104"/>
      <c r="H4" s="105"/>
      <c r="I4" s="105"/>
      <c r="J4" s="102"/>
      <c r="K4" s="106"/>
      <c r="L4" s="105"/>
      <c r="M4" s="104"/>
      <c r="N4" s="69"/>
      <c r="O4" s="69"/>
      <c r="P4" s="69"/>
      <c r="Q4" s="105"/>
      <c r="R4" s="105"/>
    </row>
    <row r="5" spans="1:18" s="58" customFormat="1" ht="17.25" customHeight="1" x14ac:dyDescent="0.35">
      <c r="A5" s="101">
        <v>2</v>
      </c>
      <c r="B5" s="65">
        <v>2022</v>
      </c>
      <c r="C5" s="102"/>
      <c r="D5" s="102"/>
      <c r="E5" s="102"/>
      <c r="F5" s="103"/>
      <c r="G5" s="104"/>
      <c r="H5" s="105"/>
      <c r="I5" s="105"/>
      <c r="J5" s="102"/>
      <c r="K5" s="106"/>
      <c r="L5" s="105"/>
      <c r="M5" s="104"/>
      <c r="N5" s="69"/>
      <c r="O5" s="69"/>
      <c r="P5" s="69"/>
      <c r="Q5" s="105"/>
      <c r="R5" s="105"/>
    </row>
    <row r="6" spans="1:18" s="58" customFormat="1" ht="17.25" customHeight="1" x14ac:dyDescent="0.35">
      <c r="A6" s="101">
        <v>3</v>
      </c>
      <c r="B6" s="65">
        <v>2023</v>
      </c>
      <c r="C6" s="102"/>
      <c r="D6" s="102"/>
      <c r="E6" s="102"/>
      <c r="F6" s="103"/>
      <c r="G6" s="104"/>
      <c r="H6" s="105"/>
      <c r="I6" s="105"/>
      <c r="J6" s="102"/>
      <c r="K6" s="106"/>
      <c r="L6" s="105"/>
      <c r="M6" s="104"/>
      <c r="N6" s="69"/>
      <c r="O6" s="69"/>
      <c r="P6" s="69"/>
      <c r="Q6" s="105"/>
      <c r="R6" s="105"/>
    </row>
    <row r="7" spans="1:18" s="58" customFormat="1" ht="17.25" customHeight="1" x14ac:dyDescent="0.35">
      <c r="A7" s="101">
        <v>4</v>
      </c>
      <c r="B7" s="65">
        <v>2024</v>
      </c>
      <c r="C7" s="102"/>
      <c r="D7" s="102"/>
      <c r="E7" s="102"/>
      <c r="F7" s="103"/>
      <c r="G7" s="104"/>
      <c r="H7" s="105"/>
      <c r="I7" s="105"/>
      <c r="J7" s="102"/>
      <c r="K7" s="106"/>
      <c r="L7" s="105"/>
      <c r="M7" s="104"/>
      <c r="N7" s="69"/>
      <c r="O7" s="69"/>
      <c r="P7" s="69"/>
      <c r="Q7" s="105"/>
      <c r="R7" s="105"/>
    </row>
    <row r="8" spans="1:18" s="58" customFormat="1" ht="17.25" customHeight="1" x14ac:dyDescent="0.35">
      <c r="A8" s="101">
        <v>5</v>
      </c>
      <c r="B8" s="65">
        <v>2025</v>
      </c>
      <c r="C8" s="102"/>
      <c r="D8" s="102"/>
      <c r="E8" s="102"/>
      <c r="F8" s="103"/>
      <c r="G8" s="104"/>
      <c r="H8" s="105"/>
      <c r="I8" s="105"/>
      <c r="J8" s="102"/>
      <c r="K8" s="106"/>
      <c r="L8" s="105"/>
      <c r="M8" s="104"/>
      <c r="N8" s="69"/>
      <c r="O8" s="69"/>
      <c r="P8" s="69"/>
      <c r="Q8" s="105"/>
      <c r="R8" s="105"/>
    </row>
    <row r="9" spans="1:18" s="58" customFormat="1" ht="17.25" customHeight="1" x14ac:dyDescent="0.35">
      <c r="A9" s="101">
        <v>6</v>
      </c>
      <c r="B9" s="65">
        <v>2026</v>
      </c>
      <c r="C9" s="102">
        <f>'Inbound Carload Projections'!H4</f>
        <v>1178.5714285714287</v>
      </c>
      <c r="D9" s="102">
        <f>'Inbound Carload Projections'!$Q$2</f>
        <v>61.25</v>
      </c>
      <c r="E9" s="102">
        <f t="shared" ref="E9:E37" si="0">C9*D9*2</f>
        <v>144375</v>
      </c>
      <c r="F9" s="103">
        <f t="shared" ref="F9:F37" si="1">E9*84</f>
        <v>12127500</v>
      </c>
      <c r="G9" s="104">
        <f t="shared" ref="G9:G37" si="2">E9/100000000*0.47*11600000</f>
        <v>7871.3249999999989</v>
      </c>
      <c r="H9" s="105">
        <f t="shared" ref="H9:H37" si="3">F9*0.0003</f>
        <v>3638.2499999999995</v>
      </c>
      <c r="I9" s="105">
        <f t="shared" ref="I9:I37" si="4">F9*0.0006</f>
        <v>7276.4999999999991</v>
      </c>
      <c r="J9" s="102">
        <f>C9*9</f>
        <v>10607.142857142859</v>
      </c>
      <c r="K9" s="106">
        <f>'Truck Elimination (Inbound)'!O9</f>
        <v>4.6500000000000004</v>
      </c>
      <c r="L9" s="105">
        <f t="shared" ref="L9:L37" si="5">J9*K9</f>
        <v>49323.214285714297</v>
      </c>
      <c r="M9" s="104">
        <f t="shared" ref="M9:M37" si="6">E9*0.041</f>
        <v>5919.375</v>
      </c>
      <c r="N9" s="69">
        <f>E9*9.191*0.00220462/2000*16200</f>
        <v>23695.917283788749</v>
      </c>
      <c r="O9" s="69">
        <f>E9*0.215*0.00220462/2000*788100</f>
        <v>26965.938018009376</v>
      </c>
      <c r="P9" s="69">
        <f>E9*0.097*0.00220462/2000*44000</f>
        <v>679.23515467499999</v>
      </c>
      <c r="Q9" s="105">
        <f t="shared" ref="Q9:Q37" si="7">G9+L9+M9+N9+P9+O9</f>
        <v>114455.00474218742</v>
      </c>
      <c r="R9" s="105">
        <f>Q9/(1+0.07)^A9</f>
        <v>76266.202386838646</v>
      </c>
    </row>
    <row r="10" spans="1:18" s="58" customFormat="1" ht="17.25" customHeight="1" x14ac:dyDescent="0.35">
      <c r="A10" s="101">
        <v>7</v>
      </c>
      <c r="B10" s="65">
        <v>2027</v>
      </c>
      <c r="C10" s="102">
        <f>'Inbound Carload Projections'!H5</f>
        <v>4007.1428571428569</v>
      </c>
      <c r="D10" s="102">
        <f>'Inbound Carload Projections'!$Q$2</f>
        <v>61.25</v>
      </c>
      <c r="E10" s="102">
        <f t="shared" si="0"/>
        <v>490874.99999999994</v>
      </c>
      <c r="F10" s="103">
        <f t="shared" si="1"/>
        <v>41233499.999999993</v>
      </c>
      <c r="G10" s="104">
        <f t="shared" si="2"/>
        <v>26762.504999999994</v>
      </c>
      <c r="H10" s="105">
        <f t="shared" si="3"/>
        <v>12370.049999999997</v>
      </c>
      <c r="I10" s="105">
        <f t="shared" si="4"/>
        <v>24740.099999999995</v>
      </c>
      <c r="J10" s="102">
        <f t="shared" ref="J10:J38" si="8">C10*9</f>
        <v>36064.28571428571</v>
      </c>
      <c r="K10" s="106">
        <f>'Truck Elimination (Inbound)'!O10</f>
        <v>4.6500000000000004</v>
      </c>
      <c r="L10" s="105">
        <f t="shared" si="5"/>
        <v>167698.92857142855</v>
      </c>
      <c r="M10" s="104">
        <f t="shared" si="6"/>
        <v>20125.875</v>
      </c>
      <c r="N10" s="69">
        <f>E10*9.191*0.00220462/2000*16500</f>
        <v>82058.08392719437</v>
      </c>
      <c r="O10" s="69">
        <f>E10*0.215*0.00220462/2000*801700</f>
        <v>93266.355196966862</v>
      </c>
      <c r="P10" s="69">
        <f>E10*0.097*0.00220462/2000*44900</f>
        <v>2356.6372434701243</v>
      </c>
      <c r="Q10" s="105">
        <f t="shared" si="7"/>
        <v>392268.38493905991</v>
      </c>
      <c r="R10" s="105">
        <f t="shared" ref="R10:R38" si="9">Q10/(1+0.07)^A10</f>
        <v>244285.03547028499</v>
      </c>
    </row>
    <row r="11" spans="1:18" s="58" customFormat="1" ht="17.25" customHeight="1" x14ac:dyDescent="0.35">
      <c r="A11" s="101">
        <v>8</v>
      </c>
      <c r="B11" s="65">
        <v>2028</v>
      </c>
      <c r="C11" s="102">
        <f>'Inbound Carload Projections'!H6</f>
        <v>5971.4285714285716</v>
      </c>
      <c r="D11" s="102">
        <f>'Inbound Carload Projections'!$Q$2</f>
        <v>61.25</v>
      </c>
      <c r="E11" s="102">
        <f t="shared" si="0"/>
        <v>731500</v>
      </c>
      <c r="F11" s="103">
        <f t="shared" si="1"/>
        <v>61446000</v>
      </c>
      <c r="G11" s="104">
        <f t="shared" si="2"/>
        <v>39881.379999999997</v>
      </c>
      <c r="H11" s="105">
        <f t="shared" si="3"/>
        <v>18433.8</v>
      </c>
      <c r="I11" s="105">
        <f t="shared" si="4"/>
        <v>36867.599999999999</v>
      </c>
      <c r="J11" s="102">
        <f t="shared" si="8"/>
        <v>53742.857142857145</v>
      </c>
      <c r="K11" s="106">
        <f>'Truck Elimination (Inbound)'!O11</f>
        <v>4.6500000000000004</v>
      </c>
      <c r="L11" s="105">
        <f t="shared" si="5"/>
        <v>249904.28571428574</v>
      </c>
      <c r="M11" s="104">
        <f t="shared" si="6"/>
        <v>29991.5</v>
      </c>
      <c r="N11" s="69">
        <f>E11*9.191*0.00220462/2000*16800</f>
        <v>124505.95550593201</v>
      </c>
      <c r="O11" s="69">
        <f>E11*0.215*0.00220462/2000*814500</f>
        <v>141204.20379738751</v>
      </c>
      <c r="P11" s="69">
        <f>E11*0.097*0.00220462/2000*45700</f>
        <v>3574.4235442685003</v>
      </c>
      <c r="Q11" s="105">
        <f t="shared" si="7"/>
        <v>589061.7485618738</v>
      </c>
      <c r="R11" s="105">
        <f t="shared" si="9"/>
        <v>342839.30081401201</v>
      </c>
    </row>
    <row r="12" spans="1:18" s="58" customFormat="1" ht="17.25" customHeight="1" x14ac:dyDescent="0.35">
      <c r="A12" s="101">
        <v>9</v>
      </c>
      <c r="B12" s="65">
        <v>2029</v>
      </c>
      <c r="C12" s="102">
        <f>'Inbound Carload Projections'!H7</f>
        <v>6600</v>
      </c>
      <c r="D12" s="102">
        <f>'Inbound Carload Projections'!$Q$2</f>
        <v>61.25</v>
      </c>
      <c r="E12" s="102">
        <f t="shared" si="0"/>
        <v>808500</v>
      </c>
      <c r="F12" s="103">
        <f t="shared" si="1"/>
        <v>67914000</v>
      </c>
      <c r="G12" s="104">
        <f t="shared" si="2"/>
        <v>44079.42</v>
      </c>
      <c r="H12" s="105">
        <f t="shared" si="3"/>
        <v>20374.199999999997</v>
      </c>
      <c r="I12" s="105">
        <f t="shared" si="4"/>
        <v>40748.399999999994</v>
      </c>
      <c r="J12" s="102">
        <f t="shared" si="8"/>
        <v>59400</v>
      </c>
      <c r="K12" s="106">
        <f>'Truck Elimination (Inbound)'!O12</f>
        <v>4.6500000000000004</v>
      </c>
      <c r="L12" s="105">
        <f t="shared" si="5"/>
        <v>276210</v>
      </c>
      <c r="M12" s="104">
        <f t="shared" si="6"/>
        <v>33148.5</v>
      </c>
      <c r="N12" s="69">
        <f>E12*9.191*0.00220462/2000*17100</f>
        <v>140069.19994417351</v>
      </c>
      <c r="O12" s="69">
        <f>E12*0.215*0.00220462/2000*827400</f>
        <v>158539.59630778499</v>
      </c>
      <c r="P12" s="69">
        <f>E12*0.097*0.00220462/2000*46500</f>
        <v>4019.8371426675003</v>
      </c>
      <c r="Q12" s="105">
        <f t="shared" si="7"/>
        <v>656066.55339462601</v>
      </c>
      <c r="R12" s="105">
        <f t="shared" si="9"/>
        <v>356856.7357722217</v>
      </c>
    </row>
    <row r="13" spans="1:18" s="58" customFormat="1" ht="17.25" customHeight="1" x14ac:dyDescent="0.35">
      <c r="A13" s="101">
        <v>10</v>
      </c>
      <c r="B13" s="65">
        <v>2030</v>
      </c>
      <c r="C13" s="102">
        <f>'Inbound Carload Projections'!H8</f>
        <v>7228.5714285714275</v>
      </c>
      <c r="D13" s="102">
        <f>'Inbound Carload Projections'!$Q$2</f>
        <v>61.25</v>
      </c>
      <c r="E13" s="102">
        <f t="shared" si="0"/>
        <v>885499.99999999988</v>
      </c>
      <c r="F13" s="103">
        <f t="shared" si="1"/>
        <v>74381999.999999985</v>
      </c>
      <c r="G13" s="104">
        <f t="shared" si="2"/>
        <v>48277.459999999992</v>
      </c>
      <c r="H13" s="105">
        <f t="shared" si="3"/>
        <v>22314.599999999995</v>
      </c>
      <c r="I13" s="105">
        <f t="shared" si="4"/>
        <v>44629.19999999999</v>
      </c>
      <c r="J13" s="102">
        <f t="shared" si="8"/>
        <v>65057.142857142848</v>
      </c>
      <c r="K13" s="106">
        <f>'Truck Elimination (Inbound)'!O13</f>
        <v>4.6500000000000004</v>
      </c>
      <c r="L13" s="105">
        <f t="shared" si="5"/>
        <v>302515.71428571426</v>
      </c>
      <c r="M13" s="104">
        <f t="shared" si="6"/>
        <v>36305.5</v>
      </c>
      <c r="N13" s="69">
        <f>E13*9.191*0.00220462/2000*17400</f>
        <v>156100.51188431701</v>
      </c>
      <c r="O13" s="69">
        <f>E13*0.215*0.00220462/2000*840600</f>
        <v>176408.76452314499</v>
      </c>
      <c r="P13" s="69">
        <f>E13*0.097*0.00220462/2000*47300</f>
        <v>4478.423786490499</v>
      </c>
      <c r="Q13" s="105">
        <f t="shared" si="7"/>
        <v>724086.37447966682</v>
      </c>
      <c r="R13" s="105">
        <f t="shared" si="9"/>
        <v>368088.79591113282</v>
      </c>
    </row>
    <row r="14" spans="1:18" s="58" customFormat="1" ht="17.25" customHeight="1" x14ac:dyDescent="0.35">
      <c r="A14" s="101">
        <v>11</v>
      </c>
      <c r="B14" s="65">
        <v>2031</v>
      </c>
      <c r="C14" s="102">
        <f>'Inbound Carload Projections'!H9</f>
        <v>7857.1428571428569</v>
      </c>
      <c r="D14" s="102">
        <f>'Inbound Carload Projections'!$Q$2</f>
        <v>61.25</v>
      </c>
      <c r="E14" s="102">
        <f t="shared" si="0"/>
        <v>962500</v>
      </c>
      <c r="F14" s="103">
        <f t="shared" si="1"/>
        <v>80850000</v>
      </c>
      <c r="G14" s="104">
        <f t="shared" si="2"/>
        <v>52475.5</v>
      </c>
      <c r="H14" s="105">
        <f t="shared" si="3"/>
        <v>24254.999999999996</v>
      </c>
      <c r="I14" s="105">
        <f t="shared" si="4"/>
        <v>48509.999999999993</v>
      </c>
      <c r="J14" s="102">
        <f t="shared" si="8"/>
        <v>70714.28571428571</v>
      </c>
      <c r="K14" s="106">
        <f>'Truck Elimination (Inbound)'!O14</f>
        <v>4.6500000000000004</v>
      </c>
      <c r="L14" s="105">
        <f t="shared" si="5"/>
        <v>328821.42857142858</v>
      </c>
      <c r="M14" s="104">
        <f t="shared" si="6"/>
        <v>39462.5</v>
      </c>
      <c r="N14" s="69">
        <f>E14*9.191*0.00220462/2000*17700</f>
        <v>172599.89132636247</v>
      </c>
      <c r="O14" s="69">
        <f>E14*0.215*0.00220462/2000*854000</f>
        <v>194805.32138375001</v>
      </c>
      <c r="P14" s="69">
        <f>E14*0.097*0.00220462/2000*48200</f>
        <v>4960.4749174749995</v>
      </c>
      <c r="Q14" s="105">
        <f t="shared" si="7"/>
        <v>793125.11619901611</v>
      </c>
      <c r="R14" s="105">
        <f t="shared" si="9"/>
        <v>376808.02934022015</v>
      </c>
    </row>
    <row r="15" spans="1:18" s="58" customFormat="1" ht="17.25" customHeight="1" x14ac:dyDescent="0.35">
      <c r="A15" s="101">
        <v>12</v>
      </c>
      <c r="B15" s="65">
        <v>2032</v>
      </c>
      <c r="C15" s="102">
        <f>'Inbound Carload Projections'!H10</f>
        <v>7857.1428571428569</v>
      </c>
      <c r="D15" s="102">
        <f>'Inbound Carload Projections'!$Q$2</f>
        <v>61.25</v>
      </c>
      <c r="E15" s="102">
        <f t="shared" si="0"/>
        <v>962500</v>
      </c>
      <c r="F15" s="103">
        <f t="shared" si="1"/>
        <v>80850000</v>
      </c>
      <c r="G15" s="104">
        <f t="shared" si="2"/>
        <v>52475.5</v>
      </c>
      <c r="H15" s="105">
        <f t="shared" si="3"/>
        <v>24254.999999999996</v>
      </c>
      <c r="I15" s="105">
        <f t="shared" si="4"/>
        <v>48509.999999999993</v>
      </c>
      <c r="J15" s="102">
        <f t="shared" si="8"/>
        <v>70714.28571428571</v>
      </c>
      <c r="K15" s="106">
        <f>'Truck Elimination (Inbound)'!O15</f>
        <v>4.6500000000000004</v>
      </c>
      <c r="L15" s="105">
        <f t="shared" si="5"/>
        <v>328821.42857142858</v>
      </c>
      <c r="M15" s="104">
        <f t="shared" si="6"/>
        <v>39462.5</v>
      </c>
      <c r="N15" s="69">
        <f>E15*9.191*0.00220462/2000*18100</f>
        <v>176500.45384221248</v>
      </c>
      <c r="O15" s="69">
        <f>E15*0.215*0.00220462/2000*867600</f>
        <v>197907.60753225</v>
      </c>
      <c r="P15" s="69">
        <f>E15*0.097*0.00220462/2000*49100</f>
        <v>5053.0978931125001</v>
      </c>
      <c r="Q15" s="105">
        <f t="shared" si="7"/>
        <v>800220.58783900354</v>
      </c>
      <c r="R15" s="105">
        <f t="shared" si="9"/>
        <v>355307.51103116886</v>
      </c>
    </row>
    <row r="16" spans="1:18" s="58" customFormat="1" ht="17.25" customHeight="1" x14ac:dyDescent="0.35">
      <c r="A16" s="101">
        <v>13</v>
      </c>
      <c r="B16" s="65">
        <v>2033</v>
      </c>
      <c r="C16" s="102">
        <f>'Inbound Carload Projections'!H11</f>
        <v>7857.1428571428569</v>
      </c>
      <c r="D16" s="102">
        <f>'Inbound Carload Projections'!$Q$2</f>
        <v>61.25</v>
      </c>
      <c r="E16" s="102">
        <f t="shared" si="0"/>
        <v>962500</v>
      </c>
      <c r="F16" s="103">
        <f t="shared" si="1"/>
        <v>80850000</v>
      </c>
      <c r="G16" s="104">
        <f t="shared" si="2"/>
        <v>52475.5</v>
      </c>
      <c r="H16" s="105">
        <f t="shared" si="3"/>
        <v>24254.999999999996</v>
      </c>
      <c r="I16" s="105">
        <f t="shared" si="4"/>
        <v>48509.999999999993</v>
      </c>
      <c r="J16" s="102">
        <f t="shared" si="8"/>
        <v>70714.28571428571</v>
      </c>
      <c r="K16" s="106">
        <f>'Truck Elimination (Inbound)'!O16</f>
        <v>4.6500000000000004</v>
      </c>
      <c r="L16" s="105">
        <f t="shared" si="5"/>
        <v>328821.42857142858</v>
      </c>
      <c r="M16" s="104">
        <f t="shared" si="6"/>
        <v>39462.5</v>
      </c>
      <c r="N16" s="69">
        <f t="shared" ref="N16:N37" si="10">E16*9.191*0.00220462/2000*18100</f>
        <v>176500.45384221248</v>
      </c>
      <c r="O16" s="69">
        <f t="shared" ref="O16:O37" si="11">E16*0.215*0.00220462/2000*867600</f>
        <v>197907.60753225</v>
      </c>
      <c r="P16" s="69">
        <f t="shared" ref="P16:P37" si="12">E16*0.097*0.00220462/2000*49100</f>
        <v>5053.0978931125001</v>
      </c>
      <c r="Q16" s="105">
        <f t="shared" si="7"/>
        <v>800220.58783900354</v>
      </c>
      <c r="R16" s="105">
        <f t="shared" si="9"/>
        <v>332063.09442165314</v>
      </c>
    </row>
    <row r="17" spans="1:18" s="58" customFormat="1" ht="17.25" customHeight="1" x14ac:dyDescent="0.35">
      <c r="A17" s="101">
        <v>14</v>
      </c>
      <c r="B17" s="65">
        <v>2034</v>
      </c>
      <c r="C17" s="102">
        <f>'Inbound Carload Projections'!H12</f>
        <v>7857.1428571428569</v>
      </c>
      <c r="D17" s="102">
        <f>'Inbound Carload Projections'!$Q$2</f>
        <v>61.25</v>
      </c>
      <c r="E17" s="102">
        <f t="shared" si="0"/>
        <v>962500</v>
      </c>
      <c r="F17" s="103">
        <f t="shared" si="1"/>
        <v>80850000</v>
      </c>
      <c r="G17" s="104">
        <f t="shared" si="2"/>
        <v>52475.5</v>
      </c>
      <c r="H17" s="105">
        <f t="shared" si="3"/>
        <v>24254.999999999996</v>
      </c>
      <c r="I17" s="105">
        <f t="shared" si="4"/>
        <v>48509.999999999993</v>
      </c>
      <c r="J17" s="102">
        <f t="shared" si="8"/>
        <v>70714.28571428571</v>
      </c>
      <c r="K17" s="106">
        <f>'Truck Elimination (Inbound)'!O17</f>
        <v>4.6500000000000004</v>
      </c>
      <c r="L17" s="105">
        <f t="shared" si="5"/>
        <v>328821.42857142858</v>
      </c>
      <c r="M17" s="104">
        <f t="shared" si="6"/>
        <v>39462.5</v>
      </c>
      <c r="N17" s="69">
        <f t="shared" si="10"/>
        <v>176500.45384221248</v>
      </c>
      <c r="O17" s="69">
        <f t="shared" si="11"/>
        <v>197907.60753225</v>
      </c>
      <c r="P17" s="69">
        <f t="shared" si="12"/>
        <v>5053.0978931125001</v>
      </c>
      <c r="Q17" s="105">
        <f t="shared" si="7"/>
        <v>800220.58783900354</v>
      </c>
      <c r="R17" s="105">
        <f t="shared" si="9"/>
        <v>310339.34058098425</v>
      </c>
    </row>
    <row r="18" spans="1:18" s="58" customFormat="1" ht="17.25" customHeight="1" x14ac:dyDescent="0.35">
      <c r="A18" s="101">
        <v>15</v>
      </c>
      <c r="B18" s="65">
        <v>2035</v>
      </c>
      <c r="C18" s="102">
        <f>'Inbound Carload Projections'!H13</f>
        <v>7857.1428571428569</v>
      </c>
      <c r="D18" s="102">
        <f>'Inbound Carload Projections'!$Q$2</f>
        <v>61.25</v>
      </c>
      <c r="E18" s="102">
        <f t="shared" si="0"/>
        <v>962500</v>
      </c>
      <c r="F18" s="103">
        <f t="shared" si="1"/>
        <v>80850000</v>
      </c>
      <c r="G18" s="104">
        <f t="shared" si="2"/>
        <v>52475.5</v>
      </c>
      <c r="H18" s="105">
        <f t="shared" si="3"/>
        <v>24254.999999999996</v>
      </c>
      <c r="I18" s="105">
        <f t="shared" si="4"/>
        <v>48509.999999999993</v>
      </c>
      <c r="J18" s="102">
        <f t="shared" si="8"/>
        <v>70714.28571428571</v>
      </c>
      <c r="K18" s="106">
        <f>'Truck Elimination (Inbound)'!O18</f>
        <v>4.6500000000000004</v>
      </c>
      <c r="L18" s="105">
        <f t="shared" si="5"/>
        <v>328821.42857142858</v>
      </c>
      <c r="M18" s="104">
        <f t="shared" si="6"/>
        <v>39462.5</v>
      </c>
      <c r="N18" s="69">
        <f t="shared" si="10"/>
        <v>176500.45384221248</v>
      </c>
      <c r="O18" s="69">
        <f t="shared" si="11"/>
        <v>197907.60753225</v>
      </c>
      <c r="P18" s="69">
        <f t="shared" si="12"/>
        <v>5053.0978931125001</v>
      </c>
      <c r="Q18" s="105">
        <f t="shared" si="7"/>
        <v>800220.58783900354</v>
      </c>
      <c r="R18" s="105">
        <f t="shared" si="9"/>
        <v>290036.7668981161</v>
      </c>
    </row>
    <row r="19" spans="1:18" s="58" customFormat="1" ht="17.25" customHeight="1" x14ac:dyDescent="0.35">
      <c r="A19" s="101">
        <v>16</v>
      </c>
      <c r="B19" s="65">
        <v>2036</v>
      </c>
      <c r="C19" s="102">
        <f>'Inbound Carload Projections'!H14</f>
        <v>7857.1428571428569</v>
      </c>
      <c r="D19" s="102">
        <f>'Inbound Carload Projections'!$Q$2</f>
        <v>61.25</v>
      </c>
      <c r="E19" s="102">
        <f t="shared" si="0"/>
        <v>962500</v>
      </c>
      <c r="F19" s="103">
        <f t="shared" si="1"/>
        <v>80850000</v>
      </c>
      <c r="G19" s="104">
        <f t="shared" si="2"/>
        <v>52475.5</v>
      </c>
      <c r="H19" s="105">
        <f t="shared" si="3"/>
        <v>24254.999999999996</v>
      </c>
      <c r="I19" s="105">
        <f t="shared" si="4"/>
        <v>48509.999999999993</v>
      </c>
      <c r="J19" s="102">
        <f t="shared" si="8"/>
        <v>70714.28571428571</v>
      </c>
      <c r="K19" s="106">
        <f>'Truck Elimination (Inbound)'!O19</f>
        <v>4.6500000000000004</v>
      </c>
      <c r="L19" s="105">
        <f t="shared" si="5"/>
        <v>328821.42857142858</v>
      </c>
      <c r="M19" s="104">
        <f t="shared" si="6"/>
        <v>39462.5</v>
      </c>
      <c r="N19" s="69">
        <f t="shared" si="10"/>
        <v>176500.45384221248</v>
      </c>
      <c r="O19" s="69">
        <f t="shared" si="11"/>
        <v>197907.60753225</v>
      </c>
      <c r="P19" s="69">
        <f t="shared" si="12"/>
        <v>5053.0978931125001</v>
      </c>
      <c r="Q19" s="105">
        <f t="shared" si="7"/>
        <v>800220.58783900354</v>
      </c>
      <c r="R19" s="105">
        <f t="shared" si="9"/>
        <v>271062.39897020196</v>
      </c>
    </row>
    <row r="20" spans="1:18" s="58" customFormat="1" ht="17.25" customHeight="1" x14ac:dyDescent="0.35">
      <c r="A20" s="101">
        <v>17</v>
      </c>
      <c r="B20" s="65">
        <v>2037</v>
      </c>
      <c r="C20" s="102">
        <f>'Inbound Carload Projections'!H15</f>
        <v>7857.1428571428569</v>
      </c>
      <c r="D20" s="102">
        <f>'Inbound Carload Projections'!$Q$2</f>
        <v>61.25</v>
      </c>
      <c r="E20" s="102">
        <f t="shared" si="0"/>
        <v>962500</v>
      </c>
      <c r="F20" s="103">
        <f t="shared" si="1"/>
        <v>80850000</v>
      </c>
      <c r="G20" s="104">
        <f t="shared" si="2"/>
        <v>52475.5</v>
      </c>
      <c r="H20" s="105">
        <f t="shared" si="3"/>
        <v>24254.999999999996</v>
      </c>
      <c r="I20" s="105">
        <f t="shared" si="4"/>
        <v>48509.999999999993</v>
      </c>
      <c r="J20" s="102">
        <f t="shared" si="8"/>
        <v>70714.28571428571</v>
      </c>
      <c r="K20" s="106">
        <f>'Truck Elimination (Inbound)'!O20</f>
        <v>4.6500000000000004</v>
      </c>
      <c r="L20" s="105">
        <f t="shared" si="5"/>
        <v>328821.42857142858</v>
      </c>
      <c r="M20" s="104">
        <f t="shared" si="6"/>
        <v>39462.5</v>
      </c>
      <c r="N20" s="69">
        <f t="shared" si="10"/>
        <v>176500.45384221248</v>
      </c>
      <c r="O20" s="69">
        <f t="shared" si="11"/>
        <v>197907.60753225</v>
      </c>
      <c r="P20" s="69">
        <f t="shared" si="12"/>
        <v>5053.0978931125001</v>
      </c>
      <c r="Q20" s="105">
        <f t="shared" si="7"/>
        <v>800220.58783900354</v>
      </c>
      <c r="R20" s="105">
        <f t="shared" si="9"/>
        <v>253329.34483196447</v>
      </c>
    </row>
    <row r="21" spans="1:18" s="58" customFormat="1" ht="17.25" customHeight="1" x14ac:dyDescent="0.35">
      <c r="A21" s="101">
        <v>18</v>
      </c>
      <c r="B21" s="65">
        <v>2038</v>
      </c>
      <c r="C21" s="102">
        <f>'Inbound Carload Projections'!H16</f>
        <v>7857.1428571428569</v>
      </c>
      <c r="D21" s="102">
        <f>'Inbound Carload Projections'!$Q$2</f>
        <v>61.25</v>
      </c>
      <c r="E21" s="102">
        <f t="shared" si="0"/>
        <v>962500</v>
      </c>
      <c r="F21" s="103">
        <f t="shared" si="1"/>
        <v>80850000</v>
      </c>
      <c r="G21" s="104">
        <f t="shared" si="2"/>
        <v>52475.5</v>
      </c>
      <c r="H21" s="105">
        <f t="shared" si="3"/>
        <v>24254.999999999996</v>
      </c>
      <c r="I21" s="105">
        <f t="shared" si="4"/>
        <v>48509.999999999993</v>
      </c>
      <c r="J21" s="102">
        <f t="shared" si="8"/>
        <v>70714.28571428571</v>
      </c>
      <c r="K21" s="106">
        <f>'Truck Elimination (Inbound)'!O21</f>
        <v>4.6500000000000004</v>
      </c>
      <c r="L21" s="105">
        <f t="shared" si="5"/>
        <v>328821.42857142858</v>
      </c>
      <c r="M21" s="104">
        <f t="shared" si="6"/>
        <v>39462.5</v>
      </c>
      <c r="N21" s="69">
        <f t="shared" si="10"/>
        <v>176500.45384221248</v>
      </c>
      <c r="O21" s="69">
        <f t="shared" si="11"/>
        <v>197907.60753225</v>
      </c>
      <c r="P21" s="69">
        <f t="shared" si="12"/>
        <v>5053.0978931125001</v>
      </c>
      <c r="Q21" s="105">
        <f t="shared" si="7"/>
        <v>800220.58783900354</v>
      </c>
      <c r="R21" s="105">
        <f t="shared" si="9"/>
        <v>236756.39703921913</v>
      </c>
    </row>
    <row r="22" spans="1:18" s="58" customFormat="1" ht="17.25" customHeight="1" x14ac:dyDescent="0.35">
      <c r="A22" s="101">
        <v>19</v>
      </c>
      <c r="B22" s="65">
        <v>2039</v>
      </c>
      <c r="C22" s="102">
        <f>'Inbound Carload Projections'!H17</f>
        <v>7857.1428571428569</v>
      </c>
      <c r="D22" s="102">
        <f>'Inbound Carload Projections'!$Q$2</f>
        <v>61.25</v>
      </c>
      <c r="E22" s="102">
        <f t="shared" si="0"/>
        <v>962500</v>
      </c>
      <c r="F22" s="103">
        <f t="shared" si="1"/>
        <v>80850000</v>
      </c>
      <c r="G22" s="104">
        <f t="shared" si="2"/>
        <v>52475.5</v>
      </c>
      <c r="H22" s="105">
        <f t="shared" si="3"/>
        <v>24254.999999999996</v>
      </c>
      <c r="I22" s="105">
        <f t="shared" si="4"/>
        <v>48509.999999999993</v>
      </c>
      <c r="J22" s="102">
        <f t="shared" si="8"/>
        <v>70714.28571428571</v>
      </c>
      <c r="K22" s="106">
        <f>'Truck Elimination (Inbound)'!O22</f>
        <v>4.6500000000000004</v>
      </c>
      <c r="L22" s="105">
        <f t="shared" si="5"/>
        <v>328821.42857142858</v>
      </c>
      <c r="M22" s="104">
        <f t="shared" si="6"/>
        <v>39462.5</v>
      </c>
      <c r="N22" s="69">
        <f t="shared" si="10"/>
        <v>176500.45384221248</v>
      </c>
      <c r="O22" s="69">
        <f t="shared" si="11"/>
        <v>197907.60753225</v>
      </c>
      <c r="P22" s="69">
        <f t="shared" si="12"/>
        <v>5053.0978931125001</v>
      </c>
      <c r="Q22" s="105">
        <f t="shared" si="7"/>
        <v>800220.58783900354</v>
      </c>
      <c r="R22" s="105">
        <f t="shared" si="9"/>
        <v>221267.66078431692</v>
      </c>
    </row>
    <row r="23" spans="1:18" s="58" customFormat="1" ht="17.25" customHeight="1" x14ac:dyDescent="0.35">
      <c r="A23" s="101">
        <v>20</v>
      </c>
      <c r="B23" s="65">
        <v>2040</v>
      </c>
      <c r="C23" s="102">
        <f>'Inbound Carload Projections'!H18</f>
        <v>7857.1428571428569</v>
      </c>
      <c r="D23" s="102">
        <f>'Inbound Carload Projections'!$Q$2</f>
        <v>61.25</v>
      </c>
      <c r="E23" s="102">
        <f t="shared" si="0"/>
        <v>962500</v>
      </c>
      <c r="F23" s="103">
        <f t="shared" si="1"/>
        <v>80850000</v>
      </c>
      <c r="G23" s="104">
        <f t="shared" si="2"/>
        <v>52475.5</v>
      </c>
      <c r="H23" s="105">
        <f t="shared" si="3"/>
        <v>24254.999999999996</v>
      </c>
      <c r="I23" s="105">
        <f t="shared" si="4"/>
        <v>48509.999999999993</v>
      </c>
      <c r="J23" s="102">
        <f t="shared" si="8"/>
        <v>70714.28571428571</v>
      </c>
      <c r="K23" s="106">
        <f>'Truck Elimination (Inbound)'!O23</f>
        <v>4.6500000000000004</v>
      </c>
      <c r="L23" s="105">
        <f t="shared" si="5"/>
        <v>328821.42857142858</v>
      </c>
      <c r="M23" s="104">
        <f t="shared" si="6"/>
        <v>39462.5</v>
      </c>
      <c r="N23" s="69">
        <f t="shared" si="10"/>
        <v>176500.45384221248</v>
      </c>
      <c r="O23" s="69">
        <f t="shared" si="11"/>
        <v>197907.60753225</v>
      </c>
      <c r="P23" s="69">
        <f t="shared" si="12"/>
        <v>5053.0978931125001</v>
      </c>
      <c r="Q23" s="105">
        <f t="shared" si="7"/>
        <v>800220.58783900354</v>
      </c>
      <c r="R23" s="105">
        <f t="shared" si="9"/>
        <v>206792.20634048313</v>
      </c>
    </row>
    <row r="24" spans="1:18" s="58" customFormat="1" ht="17.25" customHeight="1" x14ac:dyDescent="0.35">
      <c r="A24" s="101">
        <v>21</v>
      </c>
      <c r="B24" s="65">
        <v>2041</v>
      </c>
      <c r="C24" s="102">
        <f>'Inbound Carload Projections'!H19</f>
        <v>7857.1428571428569</v>
      </c>
      <c r="D24" s="102">
        <f>'Inbound Carload Projections'!$Q$2</f>
        <v>61.25</v>
      </c>
      <c r="E24" s="102">
        <f t="shared" si="0"/>
        <v>962500</v>
      </c>
      <c r="F24" s="103">
        <f t="shared" si="1"/>
        <v>80850000</v>
      </c>
      <c r="G24" s="104">
        <f t="shared" si="2"/>
        <v>52475.5</v>
      </c>
      <c r="H24" s="105">
        <f t="shared" si="3"/>
        <v>24254.999999999996</v>
      </c>
      <c r="I24" s="105">
        <f t="shared" si="4"/>
        <v>48509.999999999993</v>
      </c>
      <c r="J24" s="102">
        <f t="shared" si="8"/>
        <v>70714.28571428571</v>
      </c>
      <c r="K24" s="106">
        <f>'Truck Elimination (Inbound)'!O24</f>
        <v>4.6500000000000004</v>
      </c>
      <c r="L24" s="105">
        <f t="shared" si="5"/>
        <v>328821.42857142858</v>
      </c>
      <c r="M24" s="104">
        <f t="shared" si="6"/>
        <v>39462.5</v>
      </c>
      <c r="N24" s="69">
        <f t="shared" si="10"/>
        <v>176500.45384221248</v>
      </c>
      <c r="O24" s="69">
        <f t="shared" si="11"/>
        <v>197907.60753225</v>
      </c>
      <c r="P24" s="69">
        <f t="shared" si="12"/>
        <v>5053.0978931125001</v>
      </c>
      <c r="Q24" s="105">
        <f t="shared" si="7"/>
        <v>800220.58783900354</v>
      </c>
      <c r="R24" s="105">
        <f t="shared" si="9"/>
        <v>193263.74424344217</v>
      </c>
    </row>
    <row r="25" spans="1:18" s="58" customFormat="1" ht="17.25" customHeight="1" x14ac:dyDescent="0.35">
      <c r="A25" s="101">
        <v>22</v>
      </c>
      <c r="B25" s="65">
        <v>2042</v>
      </c>
      <c r="C25" s="102">
        <f>'Inbound Carload Projections'!H20</f>
        <v>7857.1428571428569</v>
      </c>
      <c r="D25" s="102">
        <f>'Inbound Carload Projections'!$Q$2</f>
        <v>61.25</v>
      </c>
      <c r="E25" s="102">
        <f t="shared" si="0"/>
        <v>962500</v>
      </c>
      <c r="F25" s="103">
        <f t="shared" si="1"/>
        <v>80850000</v>
      </c>
      <c r="G25" s="104">
        <f t="shared" si="2"/>
        <v>52475.5</v>
      </c>
      <c r="H25" s="107"/>
      <c r="I25" s="107"/>
      <c r="J25" s="102">
        <f t="shared" si="8"/>
        <v>70714.28571428571</v>
      </c>
      <c r="K25" s="106">
        <f>'Truck Elimination (Inbound)'!O25</f>
        <v>4.6500000000000004</v>
      </c>
      <c r="L25" s="105">
        <f t="shared" si="5"/>
        <v>328821.42857142858</v>
      </c>
      <c r="M25" s="104">
        <f t="shared" si="6"/>
        <v>39462.5</v>
      </c>
      <c r="N25" s="69">
        <f t="shared" si="10"/>
        <v>176500.45384221248</v>
      </c>
      <c r="O25" s="69">
        <f t="shared" si="11"/>
        <v>197907.60753225</v>
      </c>
      <c r="P25" s="69">
        <f t="shared" si="12"/>
        <v>5053.0978931125001</v>
      </c>
      <c r="Q25" s="105">
        <f t="shared" si="7"/>
        <v>800220.58783900354</v>
      </c>
      <c r="R25" s="105">
        <f t="shared" si="9"/>
        <v>180620.32172284313</v>
      </c>
    </row>
    <row r="26" spans="1:18" s="58" customFormat="1" ht="17.25" customHeight="1" x14ac:dyDescent="0.35">
      <c r="A26" s="101">
        <v>23</v>
      </c>
      <c r="B26" s="65">
        <v>2043</v>
      </c>
      <c r="C26" s="102">
        <f>'Inbound Carload Projections'!H21</f>
        <v>7857.1428571428569</v>
      </c>
      <c r="D26" s="102">
        <f>'Inbound Carload Projections'!$Q$2</f>
        <v>61.25</v>
      </c>
      <c r="E26" s="102">
        <f t="shared" si="0"/>
        <v>962500</v>
      </c>
      <c r="F26" s="103">
        <f t="shared" si="1"/>
        <v>80850000</v>
      </c>
      <c r="G26" s="104">
        <f t="shared" si="2"/>
        <v>52475.5</v>
      </c>
      <c r="H26" s="107"/>
      <c r="I26" s="107"/>
      <c r="J26" s="102">
        <f t="shared" si="8"/>
        <v>70714.28571428571</v>
      </c>
      <c r="K26" s="106">
        <f>'Truck Elimination (Inbound)'!O26</f>
        <v>4.6500000000000004</v>
      </c>
      <c r="L26" s="105">
        <f t="shared" si="5"/>
        <v>328821.42857142858</v>
      </c>
      <c r="M26" s="104">
        <f t="shared" si="6"/>
        <v>39462.5</v>
      </c>
      <c r="N26" s="69">
        <f t="shared" si="10"/>
        <v>176500.45384221248</v>
      </c>
      <c r="O26" s="69">
        <f t="shared" si="11"/>
        <v>197907.60753225</v>
      </c>
      <c r="P26" s="69">
        <f t="shared" si="12"/>
        <v>5053.0978931125001</v>
      </c>
      <c r="Q26" s="105">
        <f t="shared" si="7"/>
        <v>800220.58783900354</v>
      </c>
      <c r="R26" s="105">
        <f t="shared" si="9"/>
        <v>168804.03899331135</v>
      </c>
    </row>
    <row r="27" spans="1:18" s="58" customFormat="1" ht="17.25" customHeight="1" x14ac:dyDescent="0.35">
      <c r="A27" s="101">
        <v>24</v>
      </c>
      <c r="B27" s="65">
        <v>2044</v>
      </c>
      <c r="C27" s="102">
        <f>'Inbound Carload Projections'!H22</f>
        <v>7857.1428571428569</v>
      </c>
      <c r="D27" s="102">
        <f>'Inbound Carload Projections'!$Q$2</f>
        <v>61.25</v>
      </c>
      <c r="E27" s="102">
        <f t="shared" si="0"/>
        <v>962500</v>
      </c>
      <c r="F27" s="103">
        <f t="shared" si="1"/>
        <v>80850000</v>
      </c>
      <c r="G27" s="104">
        <f t="shared" si="2"/>
        <v>52475.5</v>
      </c>
      <c r="H27" s="107"/>
      <c r="I27" s="107"/>
      <c r="J27" s="102">
        <f t="shared" si="8"/>
        <v>70714.28571428571</v>
      </c>
      <c r="K27" s="106">
        <f>'Truck Elimination (Inbound)'!O27</f>
        <v>4.6500000000000004</v>
      </c>
      <c r="L27" s="105">
        <f t="shared" si="5"/>
        <v>328821.42857142858</v>
      </c>
      <c r="M27" s="104">
        <f t="shared" si="6"/>
        <v>39462.5</v>
      </c>
      <c r="N27" s="69">
        <f t="shared" si="10"/>
        <v>176500.45384221248</v>
      </c>
      <c r="O27" s="69">
        <f t="shared" si="11"/>
        <v>197907.60753225</v>
      </c>
      <c r="P27" s="69">
        <f t="shared" si="12"/>
        <v>5053.0978931125001</v>
      </c>
      <c r="Q27" s="105">
        <f t="shared" si="7"/>
        <v>800220.58783900354</v>
      </c>
      <c r="R27" s="105">
        <f t="shared" si="9"/>
        <v>157760.78410589843</v>
      </c>
    </row>
    <row r="28" spans="1:18" s="58" customFormat="1" ht="17.25" customHeight="1" x14ac:dyDescent="0.35">
      <c r="A28" s="101">
        <v>25</v>
      </c>
      <c r="B28" s="65">
        <v>2045</v>
      </c>
      <c r="C28" s="102">
        <f>'Inbound Carload Projections'!H23</f>
        <v>7857.1428571428569</v>
      </c>
      <c r="D28" s="102">
        <f>'Inbound Carload Projections'!$Q$2</f>
        <v>61.25</v>
      </c>
      <c r="E28" s="102">
        <f t="shared" si="0"/>
        <v>962500</v>
      </c>
      <c r="F28" s="103">
        <f t="shared" si="1"/>
        <v>80850000</v>
      </c>
      <c r="G28" s="104">
        <f t="shared" si="2"/>
        <v>52475.5</v>
      </c>
      <c r="H28" s="107"/>
      <c r="I28" s="107"/>
      <c r="J28" s="102">
        <f t="shared" si="8"/>
        <v>70714.28571428571</v>
      </c>
      <c r="K28" s="106">
        <f>'Truck Elimination (Inbound)'!O28</f>
        <v>4.6500000000000004</v>
      </c>
      <c r="L28" s="105">
        <f t="shared" si="5"/>
        <v>328821.42857142858</v>
      </c>
      <c r="M28" s="104">
        <f t="shared" si="6"/>
        <v>39462.5</v>
      </c>
      <c r="N28" s="69">
        <f t="shared" si="10"/>
        <v>176500.45384221248</v>
      </c>
      <c r="O28" s="69">
        <f t="shared" si="11"/>
        <v>197907.60753225</v>
      </c>
      <c r="P28" s="69">
        <f t="shared" si="12"/>
        <v>5053.0978931125001</v>
      </c>
      <c r="Q28" s="105">
        <f t="shared" si="7"/>
        <v>800220.58783900354</v>
      </c>
      <c r="R28" s="105">
        <f t="shared" si="9"/>
        <v>147439.98514569947</v>
      </c>
    </row>
    <row r="29" spans="1:18" s="58" customFormat="1" ht="17.25" customHeight="1" x14ac:dyDescent="0.35">
      <c r="A29" s="101">
        <v>26</v>
      </c>
      <c r="B29" s="65">
        <v>2046</v>
      </c>
      <c r="C29" s="102">
        <f>'Inbound Carload Projections'!H24</f>
        <v>7857.1428571428569</v>
      </c>
      <c r="D29" s="102">
        <f>'Inbound Carload Projections'!$Q$2</f>
        <v>61.25</v>
      </c>
      <c r="E29" s="102">
        <f t="shared" si="0"/>
        <v>962500</v>
      </c>
      <c r="F29" s="103">
        <f t="shared" si="1"/>
        <v>80850000</v>
      </c>
      <c r="G29" s="104">
        <f t="shared" si="2"/>
        <v>52475.5</v>
      </c>
      <c r="H29" s="107"/>
      <c r="I29" s="107"/>
      <c r="J29" s="102">
        <f t="shared" si="8"/>
        <v>70714.28571428571</v>
      </c>
      <c r="K29" s="106">
        <f>'Truck Elimination (Inbound)'!O29</f>
        <v>4.6500000000000004</v>
      </c>
      <c r="L29" s="105">
        <f t="shared" si="5"/>
        <v>328821.42857142858</v>
      </c>
      <c r="M29" s="104">
        <f t="shared" si="6"/>
        <v>39462.5</v>
      </c>
      <c r="N29" s="69">
        <f t="shared" si="10"/>
        <v>176500.45384221248</v>
      </c>
      <c r="O29" s="69">
        <f t="shared" si="11"/>
        <v>197907.60753225</v>
      </c>
      <c r="P29" s="69">
        <f t="shared" si="12"/>
        <v>5053.0978931125001</v>
      </c>
      <c r="Q29" s="105">
        <f t="shared" si="7"/>
        <v>800220.58783900354</v>
      </c>
      <c r="R29" s="105">
        <f t="shared" si="9"/>
        <v>137794.37864084064</v>
      </c>
    </row>
    <row r="30" spans="1:18" s="58" customFormat="1" ht="17.25" customHeight="1" x14ac:dyDescent="0.35">
      <c r="A30" s="101">
        <v>27</v>
      </c>
      <c r="B30" s="65">
        <v>2047</v>
      </c>
      <c r="C30" s="102">
        <f>'Inbound Carload Projections'!H25</f>
        <v>7857.1428571428569</v>
      </c>
      <c r="D30" s="102">
        <f>'Inbound Carload Projections'!$Q$2</f>
        <v>61.25</v>
      </c>
      <c r="E30" s="102">
        <f t="shared" si="0"/>
        <v>962500</v>
      </c>
      <c r="F30" s="103">
        <f t="shared" si="1"/>
        <v>80850000</v>
      </c>
      <c r="G30" s="104">
        <f t="shared" si="2"/>
        <v>52475.5</v>
      </c>
      <c r="H30" s="107"/>
      <c r="I30" s="107"/>
      <c r="J30" s="102">
        <f t="shared" si="8"/>
        <v>70714.28571428571</v>
      </c>
      <c r="K30" s="106">
        <f>'Truck Elimination (Inbound)'!O30</f>
        <v>4.6500000000000004</v>
      </c>
      <c r="L30" s="105">
        <f t="shared" si="5"/>
        <v>328821.42857142858</v>
      </c>
      <c r="M30" s="104">
        <f t="shared" si="6"/>
        <v>39462.5</v>
      </c>
      <c r="N30" s="69">
        <f t="shared" si="10"/>
        <v>176500.45384221248</v>
      </c>
      <c r="O30" s="69">
        <f t="shared" si="11"/>
        <v>197907.60753225</v>
      </c>
      <c r="P30" s="69">
        <f t="shared" si="12"/>
        <v>5053.0978931125001</v>
      </c>
      <c r="Q30" s="105">
        <f t="shared" si="7"/>
        <v>800220.58783900354</v>
      </c>
      <c r="R30" s="105">
        <f t="shared" si="9"/>
        <v>128779.79312228094</v>
      </c>
    </row>
    <row r="31" spans="1:18" s="58" customFormat="1" ht="17.25" customHeight="1" x14ac:dyDescent="0.35">
      <c r="A31" s="101">
        <v>28</v>
      </c>
      <c r="B31" s="65">
        <v>2048</v>
      </c>
      <c r="C31" s="102">
        <f>'Inbound Carload Projections'!H26</f>
        <v>7857.1428571428569</v>
      </c>
      <c r="D31" s="102">
        <f>'Inbound Carload Projections'!$Q$2</f>
        <v>61.25</v>
      </c>
      <c r="E31" s="102">
        <f t="shared" si="0"/>
        <v>962500</v>
      </c>
      <c r="F31" s="103">
        <f t="shared" si="1"/>
        <v>80850000</v>
      </c>
      <c r="G31" s="104">
        <f t="shared" si="2"/>
        <v>52475.5</v>
      </c>
      <c r="H31" s="107"/>
      <c r="I31" s="107"/>
      <c r="J31" s="102">
        <f t="shared" si="8"/>
        <v>70714.28571428571</v>
      </c>
      <c r="K31" s="106">
        <f>'Truck Elimination (Inbound)'!O31</f>
        <v>4.6500000000000004</v>
      </c>
      <c r="L31" s="105">
        <f t="shared" si="5"/>
        <v>328821.42857142858</v>
      </c>
      <c r="M31" s="104">
        <f t="shared" si="6"/>
        <v>39462.5</v>
      </c>
      <c r="N31" s="69">
        <f t="shared" si="10"/>
        <v>176500.45384221248</v>
      </c>
      <c r="O31" s="69">
        <f t="shared" si="11"/>
        <v>197907.60753225</v>
      </c>
      <c r="P31" s="69">
        <f t="shared" si="12"/>
        <v>5053.0978931125001</v>
      </c>
      <c r="Q31" s="105">
        <f t="shared" si="7"/>
        <v>800220.58783900354</v>
      </c>
      <c r="R31" s="105">
        <f t="shared" si="9"/>
        <v>120354.94684325324</v>
      </c>
    </row>
    <row r="32" spans="1:18" s="58" customFormat="1" ht="17.25" customHeight="1" x14ac:dyDescent="0.35">
      <c r="A32" s="101">
        <v>29</v>
      </c>
      <c r="B32" s="65">
        <v>2049</v>
      </c>
      <c r="C32" s="102">
        <f>'Inbound Carload Projections'!H27</f>
        <v>7857.1428571428569</v>
      </c>
      <c r="D32" s="102">
        <f>'Inbound Carload Projections'!$Q$2</f>
        <v>61.25</v>
      </c>
      <c r="E32" s="102">
        <f t="shared" si="0"/>
        <v>962500</v>
      </c>
      <c r="F32" s="103">
        <f t="shared" si="1"/>
        <v>80850000</v>
      </c>
      <c r="G32" s="104">
        <f t="shared" si="2"/>
        <v>52475.5</v>
      </c>
      <c r="H32" s="107"/>
      <c r="I32" s="107"/>
      <c r="J32" s="102">
        <f t="shared" si="8"/>
        <v>70714.28571428571</v>
      </c>
      <c r="K32" s="106">
        <f>'Truck Elimination (Inbound)'!O32</f>
        <v>4.6500000000000004</v>
      </c>
      <c r="L32" s="105">
        <f t="shared" si="5"/>
        <v>328821.42857142858</v>
      </c>
      <c r="M32" s="104">
        <f t="shared" si="6"/>
        <v>39462.5</v>
      </c>
      <c r="N32" s="69">
        <f t="shared" si="10"/>
        <v>176500.45384221248</v>
      </c>
      <c r="O32" s="69">
        <f t="shared" si="11"/>
        <v>197907.60753225</v>
      </c>
      <c r="P32" s="69">
        <f t="shared" si="12"/>
        <v>5053.0978931125001</v>
      </c>
      <c r="Q32" s="105">
        <f t="shared" si="7"/>
        <v>800220.58783900354</v>
      </c>
      <c r="R32" s="105">
        <f t="shared" si="9"/>
        <v>112481.25873201237</v>
      </c>
    </row>
    <row r="33" spans="1:18" s="58" customFormat="1" ht="17.25" customHeight="1" x14ac:dyDescent="0.35">
      <c r="A33" s="101">
        <v>30</v>
      </c>
      <c r="B33" s="65">
        <v>2050</v>
      </c>
      <c r="C33" s="102">
        <f>'Inbound Carload Projections'!H28</f>
        <v>7857.1428571428569</v>
      </c>
      <c r="D33" s="102">
        <f>'Inbound Carload Projections'!$Q$2</f>
        <v>61.25</v>
      </c>
      <c r="E33" s="102">
        <f t="shared" si="0"/>
        <v>962500</v>
      </c>
      <c r="F33" s="103">
        <f t="shared" si="1"/>
        <v>80850000</v>
      </c>
      <c r="G33" s="104">
        <f t="shared" si="2"/>
        <v>52475.5</v>
      </c>
      <c r="H33" s="107"/>
      <c r="I33" s="107"/>
      <c r="J33" s="102">
        <f t="shared" si="8"/>
        <v>70714.28571428571</v>
      </c>
      <c r="K33" s="106">
        <f>'Truck Elimination (Inbound)'!O33</f>
        <v>4.6500000000000004</v>
      </c>
      <c r="L33" s="105">
        <f t="shared" si="5"/>
        <v>328821.42857142858</v>
      </c>
      <c r="M33" s="104">
        <f t="shared" si="6"/>
        <v>39462.5</v>
      </c>
      <c r="N33" s="69">
        <f t="shared" si="10"/>
        <v>176500.45384221248</v>
      </c>
      <c r="O33" s="69">
        <f t="shared" si="11"/>
        <v>197907.60753225</v>
      </c>
      <c r="P33" s="69">
        <f t="shared" si="12"/>
        <v>5053.0978931125001</v>
      </c>
      <c r="Q33" s="105">
        <f t="shared" si="7"/>
        <v>800220.58783900354</v>
      </c>
      <c r="R33" s="105">
        <f t="shared" si="9"/>
        <v>105122.6717121611</v>
      </c>
    </row>
    <row r="34" spans="1:18" s="58" customFormat="1" ht="17.25" customHeight="1" x14ac:dyDescent="0.35">
      <c r="A34" s="101">
        <v>31</v>
      </c>
      <c r="B34" s="65">
        <v>2051</v>
      </c>
      <c r="C34" s="102">
        <f>'Inbound Carload Projections'!H29</f>
        <v>7857.1428571428569</v>
      </c>
      <c r="D34" s="102">
        <f>'Inbound Carload Projections'!$Q$2</f>
        <v>61.25</v>
      </c>
      <c r="E34" s="102">
        <f t="shared" si="0"/>
        <v>962500</v>
      </c>
      <c r="F34" s="103">
        <f t="shared" si="1"/>
        <v>80850000</v>
      </c>
      <c r="G34" s="104">
        <f t="shared" si="2"/>
        <v>52475.5</v>
      </c>
      <c r="H34" s="107"/>
      <c r="I34" s="107"/>
      <c r="J34" s="102">
        <f t="shared" si="8"/>
        <v>70714.28571428571</v>
      </c>
      <c r="K34" s="106">
        <f>'Truck Elimination (Inbound)'!O34</f>
        <v>4.6500000000000004</v>
      </c>
      <c r="L34" s="105">
        <f t="shared" si="5"/>
        <v>328821.42857142858</v>
      </c>
      <c r="M34" s="104">
        <f t="shared" si="6"/>
        <v>39462.5</v>
      </c>
      <c r="N34" s="69">
        <f t="shared" si="10"/>
        <v>176500.45384221248</v>
      </c>
      <c r="O34" s="69">
        <f t="shared" si="11"/>
        <v>197907.60753225</v>
      </c>
      <c r="P34" s="69">
        <f t="shared" si="12"/>
        <v>5053.0978931125001</v>
      </c>
      <c r="Q34" s="105">
        <f t="shared" si="7"/>
        <v>800220.58783900354</v>
      </c>
      <c r="R34" s="105">
        <f t="shared" si="9"/>
        <v>98245.487581458961</v>
      </c>
    </row>
    <row r="35" spans="1:18" s="58" customFormat="1" ht="15.75" customHeight="1" thickBot="1" x14ac:dyDescent="0.4">
      <c r="A35" s="101">
        <v>32</v>
      </c>
      <c r="B35" s="65">
        <v>2052</v>
      </c>
      <c r="C35" s="102">
        <f>'Inbound Carload Projections'!H30</f>
        <v>7857.1428571428569</v>
      </c>
      <c r="D35" s="102">
        <f>'Inbound Carload Projections'!$Q$2</f>
        <v>61.25</v>
      </c>
      <c r="E35" s="102">
        <f t="shared" si="0"/>
        <v>962500</v>
      </c>
      <c r="F35" s="103">
        <f t="shared" si="1"/>
        <v>80850000</v>
      </c>
      <c r="G35" s="104">
        <f t="shared" si="2"/>
        <v>52475.5</v>
      </c>
      <c r="H35" s="108">
        <f t="shared" si="3"/>
        <v>24254.999999999996</v>
      </c>
      <c r="I35" s="108">
        <f t="shared" si="4"/>
        <v>48509.999999999993</v>
      </c>
      <c r="J35" s="102">
        <f t="shared" si="8"/>
        <v>70714.28571428571</v>
      </c>
      <c r="K35" s="106">
        <f>'Truck Elimination (Inbound)'!O35</f>
        <v>4.6500000000000004</v>
      </c>
      <c r="L35" s="105">
        <f t="shared" si="5"/>
        <v>328821.42857142858</v>
      </c>
      <c r="M35" s="104">
        <f t="shared" si="6"/>
        <v>39462.5</v>
      </c>
      <c r="N35" s="69">
        <f t="shared" si="10"/>
        <v>176500.45384221248</v>
      </c>
      <c r="O35" s="69">
        <f t="shared" si="11"/>
        <v>197907.60753225</v>
      </c>
      <c r="P35" s="69">
        <f t="shared" si="12"/>
        <v>5053.0978931125001</v>
      </c>
      <c r="Q35" s="105">
        <f t="shared" si="7"/>
        <v>800220.58783900354</v>
      </c>
      <c r="R35" s="105">
        <f t="shared" si="9"/>
        <v>91818.212692952307</v>
      </c>
    </row>
    <row r="36" spans="1:18" s="58" customFormat="1" ht="15.5" customHeight="1" thickBot="1" x14ac:dyDescent="0.4">
      <c r="A36" s="101">
        <v>33</v>
      </c>
      <c r="B36" s="65">
        <v>2053</v>
      </c>
      <c r="C36" s="102">
        <f>'Inbound Carload Projections'!H31</f>
        <v>7857.1428571428569</v>
      </c>
      <c r="D36" s="102">
        <f>'Inbound Carload Projections'!$Q$2</f>
        <v>61.25</v>
      </c>
      <c r="E36" s="102">
        <f t="shared" si="0"/>
        <v>962500</v>
      </c>
      <c r="F36" s="103">
        <f t="shared" si="1"/>
        <v>80850000</v>
      </c>
      <c r="G36" s="104">
        <f t="shared" si="2"/>
        <v>52475.5</v>
      </c>
      <c r="H36" s="108">
        <f t="shared" si="3"/>
        <v>24254.999999999996</v>
      </c>
      <c r="I36" s="108">
        <f t="shared" si="4"/>
        <v>48509.999999999993</v>
      </c>
      <c r="J36" s="102">
        <f t="shared" si="8"/>
        <v>70714.28571428571</v>
      </c>
      <c r="K36" s="106">
        <f>'Truck Elimination (Inbound)'!O36</f>
        <v>4.6500000000000004</v>
      </c>
      <c r="L36" s="105">
        <f t="shared" si="5"/>
        <v>328821.42857142858</v>
      </c>
      <c r="M36" s="104">
        <f t="shared" si="6"/>
        <v>39462.5</v>
      </c>
      <c r="N36" s="69">
        <f t="shared" si="10"/>
        <v>176500.45384221248</v>
      </c>
      <c r="O36" s="69">
        <f t="shared" si="11"/>
        <v>197907.60753225</v>
      </c>
      <c r="P36" s="69">
        <f t="shared" si="12"/>
        <v>5053.0978931125001</v>
      </c>
      <c r="Q36" s="105">
        <f t="shared" si="7"/>
        <v>800220.58783900354</v>
      </c>
      <c r="R36" s="105">
        <f t="shared" si="9"/>
        <v>85811.413731731125</v>
      </c>
    </row>
    <row r="37" spans="1:18" s="58" customFormat="1" ht="15.75" customHeight="1" thickBot="1" x14ac:dyDescent="0.4">
      <c r="A37" s="101">
        <v>34</v>
      </c>
      <c r="B37" s="65">
        <v>2054</v>
      </c>
      <c r="C37" s="102">
        <f>'Inbound Carload Projections'!H32</f>
        <v>7857.1428571428569</v>
      </c>
      <c r="D37" s="102">
        <f>'Inbound Carload Projections'!$Q$2</f>
        <v>61.25</v>
      </c>
      <c r="E37" s="102">
        <f t="shared" si="0"/>
        <v>962500</v>
      </c>
      <c r="F37" s="103">
        <f t="shared" si="1"/>
        <v>80850000</v>
      </c>
      <c r="G37" s="104">
        <f t="shared" si="2"/>
        <v>52475.5</v>
      </c>
      <c r="H37" s="108">
        <f t="shared" si="3"/>
        <v>24254.999999999996</v>
      </c>
      <c r="I37" s="108">
        <f t="shared" si="4"/>
        <v>48509.999999999993</v>
      </c>
      <c r="J37" s="102">
        <f t="shared" si="8"/>
        <v>70714.28571428571</v>
      </c>
      <c r="K37" s="106">
        <f>'Truck Elimination (Inbound)'!O37</f>
        <v>4.6500000000000004</v>
      </c>
      <c r="L37" s="105">
        <f t="shared" si="5"/>
        <v>328821.42857142858</v>
      </c>
      <c r="M37" s="104">
        <f t="shared" si="6"/>
        <v>39462.5</v>
      </c>
      <c r="N37" s="69">
        <f t="shared" si="10"/>
        <v>176500.45384221248</v>
      </c>
      <c r="O37" s="69">
        <f t="shared" si="11"/>
        <v>197907.60753225</v>
      </c>
      <c r="P37" s="69">
        <f t="shared" si="12"/>
        <v>5053.0978931125001</v>
      </c>
      <c r="Q37" s="105">
        <f t="shared" si="7"/>
        <v>800220.58783900354</v>
      </c>
      <c r="R37" s="105">
        <f t="shared" si="9"/>
        <v>80197.582926851523</v>
      </c>
    </row>
    <row r="38" spans="1:18" s="58" customFormat="1" ht="15.5" thickBot="1" x14ac:dyDescent="0.4">
      <c r="A38" s="242">
        <v>35</v>
      </c>
      <c r="B38" s="235">
        <v>2055</v>
      </c>
      <c r="C38" s="243">
        <f>'Inbound Carload Projections'!H33</f>
        <v>7857.1428571428569</v>
      </c>
      <c r="D38" s="243">
        <f>'Inbound Carload Projections'!$Q$2</f>
        <v>61.25</v>
      </c>
      <c r="E38" s="243">
        <f>C38*D38*2</f>
        <v>962500</v>
      </c>
      <c r="F38" s="244">
        <f>E38*84</f>
        <v>80850000</v>
      </c>
      <c r="G38" s="245">
        <f>E38/100000000*0.47*11600000</f>
        <v>52475.5</v>
      </c>
      <c r="H38" s="108">
        <f>F38*0.0003</f>
        <v>24254.999999999996</v>
      </c>
      <c r="I38" s="108">
        <f>F38*0.0006</f>
        <v>48509.999999999993</v>
      </c>
      <c r="J38" s="102">
        <f t="shared" si="8"/>
        <v>70714.28571428571</v>
      </c>
      <c r="K38" s="246">
        <f>'Truck Elimination (Inbound)'!O38</f>
        <v>4.6500000000000004</v>
      </c>
      <c r="L38" s="108">
        <f>J38*K38</f>
        <v>328821.42857142858</v>
      </c>
      <c r="M38" s="245">
        <f>E38*0.041</f>
        <v>39462.5</v>
      </c>
      <c r="N38" s="240">
        <f>E38*9.191*0.00220462/2000*18100</f>
        <v>176500.45384221248</v>
      </c>
      <c r="O38" s="240">
        <f>E38*0.215*0.00220462/2000*867600</f>
        <v>197907.60753225</v>
      </c>
      <c r="P38" s="240">
        <f>E38*0.097*0.00220462/2000*49100</f>
        <v>5053.0978931125001</v>
      </c>
      <c r="Q38" s="108">
        <f>G38+L38+M38+N38+P38+O38</f>
        <v>800220.58783900354</v>
      </c>
      <c r="R38" s="108">
        <f t="shared" si="9"/>
        <v>74951.01208116964</v>
      </c>
    </row>
    <row r="39" spans="1:18" s="58" customFormat="1" ht="16.5" customHeight="1" thickBot="1" x14ac:dyDescent="0.4">
      <c r="A39" s="241"/>
      <c r="B39" s="76" t="s">
        <v>2</v>
      </c>
      <c r="G39" s="109">
        <f>SUM(G3:G38)</f>
        <v>1478759.5899999999</v>
      </c>
      <c r="L39" s="109">
        <f>SUM(L3:L38)</f>
        <v>9266187.8571428545</v>
      </c>
      <c r="M39" s="109">
        <f>SUM(M3:M38)</f>
        <v>1112053.25</v>
      </c>
      <c r="N39" s="267">
        <f>SUM(N3:P38)</f>
        <v>10617356.59330966</v>
      </c>
      <c r="O39" s="268"/>
      <c r="P39" s="269"/>
      <c r="Q39" s="109">
        <f>SUM(Q3:Q38)</f>
        <v>22474357.290452518</v>
      </c>
      <c r="R39" s="110">
        <f>SUM(R3:R38)</f>
        <v>6125544.4528687261</v>
      </c>
    </row>
    <row r="40" spans="1:18" ht="15" customHeight="1" x14ac:dyDescent="0.3">
      <c r="G40" s="111">
        <f>G39/Q39</f>
        <v>6.5797636430217368E-2</v>
      </c>
      <c r="H40" s="112"/>
      <c r="I40" s="112"/>
      <c r="J40" s="112"/>
      <c r="K40" s="112"/>
      <c r="L40" s="111">
        <f>L39/Q39</f>
        <v>0.41230046035974011</v>
      </c>
      <c r="M40" s="111">
        <f>M39/Q39</f>
        <v>4.9480981174594874E-2</v>
      </c>
      <c r="N40" s="270">
        <f>N39/Q39</f>
        <v>0.4724209220354475</v>
      </c>
      <c r="O40" s="270"/>
      <c r="P40" s="270"/>
      <c r="Q40" s="113">
        <f>SUM(N40,M40,L40,G40)</f>
        <v>0.99999999999999989</v>
      </c>
    </row>
    <row r="41" spans="1:18" ht="15" customHeight="1" x14ac:dyDescent="0.3">
      <c r="G41" s="93"/>
      <c r="H41" s="93"/>
      <c r="I41" s="93"/>
      <c r="J41" s="93"/>
      <c r="K41" s="93"/>
      <c r="L41" s="93"/>
      <c r="M41" s="93"/>
      <c r="N41" s="93"/>
      <c r="O41" s="93"/>
      <c r="P41" s="93"/>
      <c r="Q41" s="114"/>
    </row>
    <row r="42" spans="1:18" s="58" customFormat="1" x14ac:dyDescent="0.3">
      <c r="G42" s="93"/>
      <c r="H42" s="93"/>
      <c r="I42" s="93"/>
      <c r="J42" s="93"/>
      <c r="K42" s="93"/>
      <c r="L42" s="93"/>
      <c r="M42" s="93"/>
      <c r="N42" s="93"/>
      <c r="O42" s="93"/>
      <c r="P42" s="93"/>
      <c r="Q42" s="114"/>
    </row>
    <row r="43" spans="1:18" ht="15" customHeight="1" x14ac:dyDescent="0.3">
      <c r="G43" s="93"/>
      <c r="H43" s="93"/>
      <c r="I43" s="93"/>
      <c r="J43" s="93"/>
      <c r="K43" s="93"/>
      <c r="L43" s="93"/>
      <c r="M43" s="93"/>
      <c r="N43" s="93"/>
      <c r="O43" s="93"/>
      <c r="P43" s="93"/>
      <c r="Q43" s="114"/>
    </row>
    <row r="44" spans="1:18" ht="15" customHeight="1" x14ac:dyDescent="0.3">
      <c r="G44" s="93"/>
      <c r="H44" s="93"/>
      <c r="I44" s="93"/>
      <c r="J44" s="93"/>
      <c r="K44" s="93"/>
      <c r="L44" s="93"/>
      <c r="M44" s="93"/>
      <c r="N44" s="93"/>
      <c r="O44" s="93"/>
      <c r="P44" s="93"/>
      <c r="Q44" s="114"/>
    </row>
    <row r="45" spans="1:18" ht="15" customHeight="1" x14ac:dyDescent="0.3">
      <c r="G45" s="93"/>
      <c r="H45" s="93"/>
      <c r="I45" s="93"/>
      <c r="J45" s="93"/>
      <c r="K45" s="93"/>
      <c r="L45" s="93"/>
      <c r="M45" s="93"/>
      <c r="N45" s="93"/>
      <c r="O45" s="93"/>
      <c r="P45" s="93"/>
      <c r="Q45" s="114"/>
    </row>
    <row r="46" spans="1:18" ht="15" customHeight="1" x14ac:dyDescent="0.3">
      <c r="G46" s="93"/>
      <c r="H46" s="93"/>
      <c r="I46" s="93"/>
      <c r="J46" s="93"/>
      <c r="K46" s="93"/>
      <c r="L46" s="93"/>
      <c r="M46" s="93"/>
      <c r="N46" s="93"/>
      <c r="O46" s="93"/>
      <c r="P46" s="93"/>
      <c r="Q46" s="114"/>
    </row>
    <row r="47" spans="1:18" ht="15" customHeight="1" x14ac:dyDescent="0.3">
      <c r="G47" s="93"/>
      <c r="H47" s="93"/>
      <c r="I47" s="93"/>
      <c r="J47" s="93"/>
      <c r="K47" s="93"/>
      <c r="L47" s="93"/>
      <c r="M47" s="93"/>
      <c r="N47" s="93"/>
      <c r="O47" s="93"/>
      <c r="P47" s="93"/>
      <c r="Q47" s="114"/>
    </row>
    <row r="48" spans="1:18" ht="15" customHeight="1" x14ac:dyDescent="0.3">
      <c r="G48" s="93"/>
      <c r="H48" s="93"/>
      <c r="I48" s="93"/>
      <c r="J48" s="93"/>
      <c r="K48" s="93"/>
      <c r="L48" s="93"/>
      <c r="M48" s="93"/>
      <c r="N48" s="93"/>
      <c r="O48" s="93"/>
      <c r="P48" s="93"/>
      <c r="Q48" s="114"/>
    </row>
    <row r="49" spans="7:17" ht="15" customHeight="1" x14ac:dyDescent="0.3">
      <c r="G49" s="93"/>
      <c r="H49" s="93"/>
      <c r="I49" s="93"/>
      <c r="J49" s="93"/>
      <c r="K49" s="93"/>
      <c r="L49" s="93"/>
      <c r="M49" s="93"/>
      <c r="N49" s="93"/>
      <c r="O49" s="93"/>
      <c r="P49" s="93"/>
      <c r="Q49" s="114"/>
    </row>
    <row r="50" spans="7:17" ht="15" customHeight="1" x14ac:dyDescent="0.3">
      <c r="G50" s="93"/>
      <c r="H50" s="93"/>
      <c r="I50" s="93"/>
      <c r="J50" s="93"/>
      <c r="K50" s="93"/>
      <c r="L50" s="93"/>
      <c r="M50" s="93"/>
      <c r="N50" s="93"/>
      <c r="O50" s="93"/>
      <c r="P50" s="93"/>
      <c r="Q50" s="114"/>
    </row>
    <row r="51" spans="7:17" ht="15" customHeight="1" x14ac:dyDescent="0.3">
      <c r="G51" s="93"/>
      <c r="H51" s="93"/>
      <c r="I51" s="93"/>
      <c r="J51" s="93"/>
      <c r="K51" s="93"/>
      <c r="L51" s="93"/>
      <c r="M51" s="93"/>
      <c r="N51" s="93"/>
      <c r="O51" s="93"/>
      <c r="P51" s="93"/>
      <c r="Q51" s="114"/>
    </row>
    <row r="52" spans="7:17" ht="15" customHeight="1" x14ac:dyDescent="0.3">
      <c r="G52" s="93"/>
      <c r="H52" s="93"/>
      <c r="I52" s="93"/>
      <c r="J52" s="93"/>
      <c r="K52" s="93"/>
      <c r="L52" s="93"/>
      <c r="M52" s="93"/>
      <c r="N52" s="93"/>
      <c r="O52" s="93"/>
      <c r="P52" s="93"/>
      <c r="Q52" s="114"/>
    </row>
    <row r="53" spans="7:17" ht="15" customHeight="1" x14ac:dyDescent="0.3">
      <c r="G53" s="93"/>
      <c r="H53" s="93"/>
      <c r="I53" s="93"/>
      <c r="J53" s="93"/>
      <c r="K53" s="93"/>
      <c r="L53" s="93"/>
      <c r="M53" s="93"/>
      <c r="N53" s="93"/>
      <c r="O53" s="93"/>
      <c r="P53" s="93"/>
      <c r="Q53" s="114"/>
    </row>
    <row r="54" spans="7:17" ht="15" customHeight="1" x14ac:dyDescent="0.3">
      <c r="G54" s="93"/>
      <c r="H54" s="93"/>
      <c r="I54" s="93"/>
      <c r="J54" s="93"/>
      <c r="K54" s="93"/>
      <c r="L54" s="93"/>
      <c r="M54" s="93"/>
      <c r="N54" s="93"/>
      <c r="O54" s="93"/>
      <c r="P54" s="93"/>
      <c r="Q54" s="114"/>
    </row>
    <row r="55" spans="7:17" ht="15" customHeight="1" x14ac:dyDescent="0.3">
      <c r="G55" s="93"/>
      <c r="H55" s="93"/>
      <c r="I55" s="93"/>
      <c r="J55" s="93"/>
      <c r="K55" s="93"/>
      <c r="L55" s="93"/>
      <c r="M55" s="93"/>
      <c r="N55" s="93"/>
      <c r="O55" s="93"/>
      <c r="P55" s="93"/>
      <c r="Q55" s="114"/>
    </row>
    <row r="56" spans="7:17" ht="15" customHeight="1" x14ac:dyDescent="0.3">
      <c r="G56" s="93"/>
      <c r="H56" s="93"/>
      <c r="I56" s="93"/>
      <c r="J56" s="93"/>
      <c r="K56" s="93"/>
      <c r="L56" s="93"/>
      <c r="M56" s="93"/>
      <c r="N56" s="93"/>
      <c r="O56" s="93"/>
      <c r="P56" s="93"/>
      <c r="Q56" s="114"/>
    </row>
    <row r="57" spans="7:17" ht="15" customHeight="1" x14ac:dyDescent="0.3">
      <c r="G57" s="93"/>
      <c r="H57" s="93"/>
      <c r="I57" s="93"/>
      <c r="J57" s="93"/>
      <c r="K57" s="93"/>
      <c r="L57" s="93"/>
      <c r="M57" s="93"/>
      <c r="N57" s="93"/>
      <c r="O57" s="93"/>
      <c r="P57" s="93"/>
      <c r="Q57" s="114"/>
    </row>
    <row r="58" spans="7:17" ht="15" customHeight="1" x14ac:dyDescent="0.3">
      <c r="G58" s="93"/>
      <c r="H58" s="93"/>
      <c r="I58" s="93"/>
      <c r="J58" s="93"/>
      <c r="K58" s="93"/>
      <c r="L58" s="93"/>
      <c r="M58" s="93"/>
      <c r="N58" s="93"/>
      <c r="O58" s="93"/>
      <c r="P58" s="93"/>
      <c r="Q58" s="114"/>
    </row>
    <row r="59" spans="7:17" ht="15" customHeight="1" x14ac:dyDescent="0.3">
      <c r="G59" s="93"/>
      <c r="H59" s="93"/>
      <c r="I59" s="93"/>
      <c r="J59" s="93"/>
      <c r="K59" s="93"/>
      <c r="L59" s="93"/>
      <c r="M59" s="93"/>
      <c r="N59" s="93"/>
      <c r="O59" s="93"/>
      <c r="P59" s="93"/>
      <c r="Q59" s="114"/>
    </row>
    <row r="60" spans="7:17" ht="15" customHeight="1" x14ac:dyDescent="0.3">
      <c r="G60" s="93"/>
      <c r="H60" s="93"/>
      <c r="I60" s="93"/>
      <c r="J60" s="93"/>
      <c r="K60" s="93"/>
      <c r="L60" s="93"/>
      <c r="M60" s="93"/>
      <c r="N60" s="93"/>
      <c r="O60" s="93"/>
      <c r="P60" s="93"/>
      <c r="Q60" s="114"/>
    </row>
    <row r="61" spans="7:17" ht="15" customHeight="1" x14ac:dyDescent="0.3">
      <c r="G61" s="93"/>
      <c r="H61" s="93"/>
      <c r="I61" s="93"/>
      <c r="J61" s="93"/>
      <c r="K61" s="93"/>
      <c r="L61" s="93"/>
      <c r="M61" s="93"/>
      <c r="N61" s="93"/>
      <c r="O61" s="93"/>
      <c r="P61" s="93"/>
      <c r="Q61" s="114"/>
    </row>
    <row r="62" spans="7:17" ht="15" customHeight="1" x14ac:dyDescent="0.3">
      <c r="G62" s="93"/>
      <c r="H62" s="93"/>
      <c r="I62" s="93"/>
      <c r="J62" s="93"/>
      <c r="K62" s="93"/>
      <c r="L62" s="93"/>
      <c r="M62" s="93"/>
      <c r="N62" s="93"/>
      <c r="O62" s="93"/>
      <c r="P62" s="93"/>
      <c r="Q62" s="114"/>
    </row>
    <row r="63" spans="7:17" ht="15" customHeight="1" x14ac:dyDescent="0.3">
      <c r="G63" s="93"/>
      <c r="H63" s="93"/>
      <c r="I63" s="93"/>
      <c r="J63" s="93"/>
      <c r="K63" s="93"/>
      <c r="L63" s="93"/>
      <c r="M63" s="93"/>
      <c r="N63" s="93"/>
      <c r="O63" s="93"/>
      <c r="P63" s="93"/>
      <c r="Q63" s="114"/>
    </row>
    <row r="64" spans="7:17" ht="15" customHeight="1" x14ac:dyDescent="0.3">
      <c r="G64" s="93"/>
      <c r="H64" s="93"/>
      <c r="I64" s="93"/>
      <c r="J64" s="93"/>
      <c r="K64" s="93"/>
      <c r="L64" s="93"/>
      <c r="M64" s="93"/>
      <c r="N64" s="93"/>
      <c r="O64" s="93"/>
      <c r="P64" s="93"/>
      <c r="Q64" s="114"/>
    </row>
    <row r="65" spans="7:17" ht="15" customHeight="1" x14ac:dyDescent="0.3">
      <c r="G65" s="93"/>
      <c r="H65" s="93"/>
      <c r="I65" s="93"/>
      <c r="J65" s="93"/>
      <c r="K65" s="93"/>
      <c r="L65" s="93"/>
      <c r="M65" s="93"/>
      <c r="N65" s="93"/>
      <c r="O65" s="93"/>
      <c r="P65" s="93"/>
      <c r="Q65" s="114"/>
    </row>
    <row r="66" spans="7:17" ht="15" customHeight="1" x14ac:dyDescent="0.3">
      <c r="G66" s="93"/>
      <c r="H66" s="93"/>
      <c r="I66" s="93"/>
      <c r="J66" s="93"/>
      <c r="K66" s="93"/>
      <c r="L66" s="93"/>
      <c r="M66" s="93"/>
      <c r="N66" s="93"/>
      <c r="O66" s="93"/>
      <c r="P66" s="93"/>
      <c r="Q66" s="114"/>
    </row>
    <row r="67" spans="7:17" ht="15" customHeight="1" x14ac:dyDescent="0.3">
      <c r="G67" s="93"/>
      <c r="H67" s="93"/>
      <c r="I67" s="93"/>
      <c r="J67" s="93"/>
      <c r="K67" s="93"/>
      <c r="L67" s="93"/>
      <c r="M67" s="93"/>
      <c r="N67" s="93"/>
      <c r="O67" s="93"/>
      <c r="P67" s="93"/>
      <c r="Q67" s="114"/>
    </row>
    <row r="68" spans="7:17" ht="15" customHeight="1" x14ac:dyDescent="0.3">
      <c r="G68" s="93"/>
      <c r="H68" s="93"/>
      <c r="I68" s="93"/>
      <c r="J68" s="93"/>
      <c r="K68" s="93"/>
      <c r="L68" s="93"/>
      <c r="M68" s="93"/>
      <c r="N68" s="93"/>
      <c r="O68" s="93"/>
      <c r="P68" s="93"/>
      <c r="Q68" s="114"/>
    </row>
    <row r="69" spans="7:17" ht="15" customHeight="1" x14ac:dyDescent="0.3">
      <c r="G69" s="93"/>
      <c r="H69" s="93"/>
      <c r="I69" s="93"/>
      <c r="J69" s="93"/>
      <c r="K69" s="93"/>
      <c r="L69" s="93"/>
      <c r="M69" s="93"/>
      <c r="N69" s="93"/>
      <c r="O69" s="93"/>
      <c r="P69" s="93"/>
      <c r="Q69" s="114"/>
    </row>
    <row r="70" spans="7:17" ht="15" customHeight="1" x14ac:dyDescent="0.3">
      <c r="G70" s="93"/>
      <c r="H70" s="93"/>
      <c r="I70" s="93"/>
      <c r="J70" s="93"/>
      <c r="K70" s="93"/>
      <c r="L70" s="93"/>
      <c r="M70" s="93"/>
      <c r="N70" s="93"/>
      <c r="O70" s="93"/>
      <c r="P70" s="93"/>
      <c r="Q70" s="114"/>
    </row>
    <row r="71" spans="7:17" ht="15" customHeight="1" x14ac:dyDescent="0.3">
      <c r="G71" s="93"/>
      <c r="H71" s="93"/>
      <c r="I71" s="93"/>
      <c r="J71" s="93"/>
      <c r="K71" s="93"/>
      <c r="L71" s="93"/>
      <c r="M71" s="93"/>
      <c r="N71" s="93"/>
      <c r="O71" s="93"/>
      <c r="P71" s="93"/>
      <c r="Q71" s="114"/>
    </row>
    <row r="72" spans="7:17" ht="15" customHeight="1" x14ac:dyDescent="0.3">
      <c r="G72" s="93"/>
      <c r="H72" s="93"/>
      <c r="I72" s="93"/>
      <c r="J72" s="93"/>
      <c r="K72" s="93"/>
      <c r="L72" s="93"/>
      <c r="M72" s="93"/>
      <c r="N72" s="93"/>
      <c r="O72" s="93"/>
      <c r="P72" s="93"/>
      <c r="Q72" s="114"/>
    </row>
  </sheetData>
  <mergeCells count="2">
    <mergeCell ref="N39:P39"/>
    <mergeCell ref="N40:P40"/>
  </mergeCells>
  <pageMargins left="0.75" right="0.75" top="1" bottom="1" header="0.5" footer="0.5"/>
  <pageSetup scale="22" orientation="portrait" horizontalDpi="4294967292" verticalDpi="4294967292"/>
  <headerFooter>
    <oddFooter>&amp;L&amp;"Helvetica,Regular"&amp;12&amp;K000000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AB928-9BE7-4BD8-A7A4-CBFCCAEEF8A7}">
  <sheetPr>
    <tabColor rgb="FF00B050"/>
    <pageSetUpPr fitToPage="1"/>
  </sheetPr>
  <dimension ref="A1:IT282"/>
  <sheetViews>
    <sheetView showGridLines="0" zoomScale="80" zoomScaleNormal="80" workbookViewId="0">
      <pane xSplit="2" ySplit="2" topLeftCell="C3" activePane="bottomRight" state="frozen"/>
      <selection activeCell="L2" sqref="L2"/>
      <selection pane="topRight" activeCell="L2" sqref="L2"/>
      <selection pane="bottomLeft" activeCell="L2" sqref="L2"/>
      <selection pane="bottomRight"/>
    </sheetView>
  </sheetViews>
  <sheetFormatPr defaultColWidth="26.6640625" defaultRowHeight="15" customHeight="1" x14ac:dyDescent="0.3"/>
  <cols>
    <col min="1" max="1" width="5.3984375" style="58" customWidth="1"/>
    <col min="2" max="2" width="10.1328125" style="58" customWidth="1"/>
    <col min="3" max="3" width="10.6640625" style="58" customWidth="1"/>
    <col min="4" max="4" width="12.86328125" style="58" customWidth="1"/>
    <col min="5" max="5" width="13.59765625" style="58" customWidth="1"/>
    <col min="6" max="6" width="20.59765625" style="58" customWidth="1"/>
    <col min="7" max="7" width="25.1328125" style="58" customWidth="1"/>
    <col min="8" max="8" width="25" style="58" customWidth="1"/>
    <col min="9" max="9" width="16" style="88" customWidth="1"/>
    <col min="10" max="10" width="18.265625" style="58" customWidth="1"/>
    <col min="11" max="11" width="19.796875" style="58" customWidth="1"/>
    <col min="12" max="12" width="18.3984375" style="58" customWidth="1"/>
    <col min="13" max="13" width="13.06640625" style="88" customWidth="1"/>
    <col min="14" max="14" width="16.46484375" style="90" customWidth="1"/>
    <col min="15" max="15" width="15.46484375" style="58" customWidth="1"/>
    <col min="16" max="16" width="17.06640625" style="58" bestFit="1" customWidth="1"/>
    <col min="17" max="17" width="13.6640625" style="58" customWidth="1"/>
    <col min="18" max="18" width="16.86328125" style="58" customWidth="1"/>
    <col min="19" max="19" width="15.06640625" style="58" bestFit="1" customWidth="1"/>
    <col min="20" max="20" width="18.19921875" style="58" customWidth="1"/>
    <col min="21" max="21" width="11.06640625" style="58" customWidth="1"/>
    <col min="22" max="254" width="26.6640625" style="58" customWidth="1"/>
    <col min="255" max="16384" width="26.6640625" style="91"/>
  </cols>
  <sheetData>
    <row r="1" spans="1:21" ht="15.75" customHeight="1" thickBot="1" x14ac:dyDescent="0.4">
      <c r="A1" s="51" t="s">
        <v>3</v>
      </c>
      <c r="B1" s="52" t="s">
        <v>4</v>
      </c>
      <c r="C1" s="53" t="s">
        <v>5</v>
      </c>
      <c r="D1" s="53" t="s">
        <v>6</v>
      </c>
      <c r="E1" s="53" t="s">
        <v>7</v>
      </c>
      <c r="F1" s="53" t="s">
        <v>8</v>
      </c>
      <c r="G1" s="53" t="s">
        <v>35</v>
      </c>
      <c r="H1" s="53" t="s">
        <v>36</v>
      </c>
      <c r="I1" s="54" t="s">
        <v>37</v>
      </c>
      <c r="J1" s="54" t="s">
        <v>38</v>
      </c>
      <c r="K1" s="53" t="s">
        <v>39</v>
      </c>
      <c r="L1" s="53" t="s">
        <v>40</v>
      </c>
      <c r="M1" s="54" t="s">
        <v>41</v>
      </c>
      <c r="N1" s="56" t="s">
        <v>42</v>
      </c>
      <c r="O1" s="53" t="s">
        <v>43</v>
      </c>
      <c r="P1" s="53" t="s">
        <v>44</v>
      </c>
      <c r="Q1" s="53" t="s">
        <v>45</v>
      </c>
      <c r="R1" s="53" t="s">
        <v>46</v>
      </c>
      <c r="S1" s="53" t="s">
        <v>47</v>
      </c>
      <c r="T1" s="53" t="s">
        <v>48</v>
      </c>
      <c r="U1" s="202" t="s">
        <v>49</v>
      </c>
    </row>
    <row r="2" spans="1:21" ht="207" customHeight="1" x14ac:dyDescent="0.35">
      <c r="A2" s="59" t="s">
        <v>50</v>
      </c>
      <c r="B2" s="182" t="s">
        <v>124</v>
      </c>
      <c r="C2" s="183" t="s">
        <v>122</v>
      </c>
      <c r="D2" s="183" t="s">
        <v>133</v>
      </c>
      <c r="E2" s="183" t="s">
        <v>126</v>
      </c>
      <c r="F2" s="184" t="s">
        <v>127</v>
      </c>
      <c r="G2" s="187" t="s">
        <v>128</v>
      </c>
      <c r="H2" s="187" t="s">
        <v>129</v>
      </c>
      <c r="I2" s="188" t="s">
        <v>151</v>
      </c>
      <c r="J2" s="184" t="s">
        <v>186</v>
      </c>
      <c r="K2" s="189" t="s">
        <v>185</v>
      </c>
      <c r="L2" s="190" t="s">
        <v>130</v>
      </c>
      <c r="M2" s="191" t="s">
        <v>131</v>
      </c>
      <c r="N2" s="62" t="s">
        <v>132</v>
      </c>
      <c r="O2" s="183" t="str">
        <f>'Truck Elimination (Inbound)'!O2</f>
        <v>Price/Gallon of Diesel Fuel (U.S. Energy Information Administration Annual Energy November 2022 Actuals, Held Constant to be Conservative)</v>
      </c>
      <c r="P2" s="61" t="s">
        <v>51</v>
      </c>
      <c r="Q2" s="192" t="s">
        <v>152</v>
      </c>
      <c r="R2" s="192" t="s">
        <v>153</v>
      </c>
      <c r="S2" s="192" t="s">
        <v>154</v>
      </c>
      <c r="T2" s="60" t="s">
        <v>187</v>
      </c>
      <c r="U2" s="63" t="s">
        <v>2</v>
      </c>
    </row>
    <row r="3" spans="1:21" ht="17.25" customHeight="1" x14ac:dyDescent="0.35">
      <c r="A3" s="64">
        <v>0</v>
      </c>
      <c r="B3" s="65">
        <v>2020</v>
      </c>
      <c r="C3" s="66"/>
      <c r="D3" s="66"/>
      <c r="E3" s="66"/>
      <c r="F3" s="67"/>
      <c r="G3" s="67"/>
      <c r="H3" s="67"/>
      <c r="I3" s="68"/>
      <c r="J3" s="69"/>
      <c r="K3" s="67"/>
      <c r="L3" s="66"/>
      <c r="M3" s="68"/>
      <c r="N3" s="68"/>
      <c r="O3" s="70"/>
      <c r="P3" s="67"/>
      <c r="Q3" s="69"/>
      <c r="R3" s="69"/>
      <c r="S3" s="69"/>
      <c r="T3" s="67"/>
      <c r="U3" s="67"/>
    </row>
    <row r="4" spans="1:21" ht="17.25" customHeight="1" x14ac:dyDescent="0.35">
      <c r="A4" s="64">
        <v>1</v>
      </c>
      <c r="B4" s="65">
        <v>2021</v>
      </c>
      <c r="C4" s="66"/>
      <c r="D4" s="66"/>
      <c r="E4" s="66"/>
      <c r="F4" s="67"/>
      <c r="G4" s="67"/>
      <c r="H4" s="67"/>
      <c r="I4" s="68"/>
      <c r="J4" s="69"/>
      <c r="K4" s="67"/>
      <c r="L4" s="66"/>
      <c r="M4" s="68"/>
      <c r="N4" s="68"/>
      <c r="O4" s="70"/>
      <c r="P4" s="67"/>
      <c r="Q4" s="69"/>
      <c r="R4" s="69"/>
      <c r="S4" s="69"/>
      <c r="T4" s="67"/>
      <c r="U4" s="67"/>
    </row>
    <row r="5" spans="1:21" ht="17.25" customHeight="1" x14ac:dyDescent="0.35">
      <c r="A5" s="64">
        <v>2</v>
      </c>
      <c r="B5" s="65">
        <v>2022</v>
      </c>
      <c r="C5" s="66"/>
      <c r="D5" s="66"/>
      <c r="E5" s="66"/>
      <c r="F5" s="67"/>
      <c r="G5" s="67"/>
      <c r="H5" s="67"/>
      <c r="I5" s="68"/>
      <c r="J5" s="69"/>
      <c r="K5" s="67"/>
      <c r="L5" s="66"/>
      <c r="M5" s="68"/>
      <c r="N5" s="68"/>
      <c r="O5" s="70"/>
      <c r="P5" s="67"/>
      <c r="Q5" s="69"/>
      <c r="R5" s="69"/>
      <c r="S5" s="69"/>
      <c r="T5" s="67"/>
      <c r="U5" s="67"/>
    </row>
    <row r="6" spans="1:21" ht="17.25" customHeight="1" x14ac:dyDescent="0.35">
      <c r="A6" s="64">
        <v>3</v>
      </c>
      <c r="B6" s="65">
        <v>2023</v>
      </c>
      <c r="C6" s="66"/>
      <c r="D6" s="66"/>
      <c r="E6" s="66"/>
      <c r="F6" s="67"/>
      <c r="G6" s="67"/>
      <c r="H6" s="67"/>
      <c r="I6" s="68"/>
      <c r="J6" s="69"/>
      <c r="K6" s="67"/>
      <c r="L6" s="66"/>
      <c r="M6" s="68"/>
      <c r="N6" s="68"/>
      <c r="O6" s="70"/>
      <c r="P6" s="67"/>
      <c r="Q6" s="69"/>
      <c r="R6" s="69"/>
      <c r="S6" s="69"/>
      <c r="T6" s="67"/>
      <c r="U6" s="67"/>
    </row>
    <row r="7" spans="1:21" ht="17.25" customHeight="1" x14ac:dyDescent="0.35">
      <c r="A7" s="64">
        <v>4</v>
      </c>
      <c r="B7" s="65">
        <v>2024</v>
      </c>
      <c r="C7" s="66"/>
      <c r="D7" s="66"/>
      <c r="E7" s="66"/>
      <c r="F7" s="67"/>
      <c r="G7" s="67"/>
      <c r="H7" s="67"/>
      <c r="I7" s="68"/>
      <c r="J7" s="69"/>
      <c r="K7" s="67"/>
      <c r="L7" s="66"/>
      <c r="M7" s="68"/>
      <c r="N7" s="68"/>
      <c r="O7" s="70"/>
      <c r="P7" s="67"/>
      <c r="Q7" s="69"/>
      <c r="R7" s="69"/>
      <c r="S7" s="69"/>
      <c r="T7" s="67"/>
      <c r="U7" s="67"/>
    </row>
    <row r="8" spans="1:21" ht="17.25" customHeight="1" x14ac:dyDescent="0.35">
      <c r="A8" s="64">
        <v>5</v>
      </c>
      <c r="B8" s="65">
        <v>2025</v>
      </c>
      <c r="C8" s="66"/>
      <c r="D8" s="66"/>
      <c r="E8" s="66"/>
      <c r="F8" s="67"/>
      <c r="G8" s="67"/>
      <c r="H8" s="67"/>
      <c r="I8" s="68"/>
      <c r="J8" s="69"/>
      <c r="K8" s="67"/>
      <c r="L8" s="66"/>
      <c r="M8" s="68"/>
      <c r="N8" s="68"/>
      <c r="O8" s="70"/>
      <c r="P8" s="67"/>
      <c r="Q8" s="69"/>
      <c r="R8" s="69"/>
      <c r="S8" s="69"/>
      <c r="T8" s="67"/>
      <c r="U8" s="67"/>
    </row>
    <row r="9" spans="1:21" ht="17.25" customHeight="1" x14ac:dyDescent="0.35">
      <c r="A9" s="64">
        <v>6</v>
      </c>
      <c r="B9" s="65">
        <v>2026</v>
      </c>
      <c r="C9" s="66">
        <f>'Outbound Carload Projections'!F4</f>
        <v>3235.294117647059</v>
      </c>
      <c r="D9" s="66">
        <f>'Outbound Carload Projections'!$H$2</f>
        <v>105.4</v>
      </c>
      <c r="E9" s="66">
        <f>C9*D9*2*'Outbound Carload Projections'!$L$14</f>
        <v>2046000.0000000005</v>
      </c>
      <c r="F9" s="67">
        <f>E9/100000000*11600000*1.46</f>
        <v>346510.56000000006</v>
      </c>
      <c r="G9" s="67">
        <f>E9/100000000*554800*0.047*5.66</f>
        <v>3019.6483521600012</v>
      </c>
      <c r="H9" s="67">
        <f>E9/100000000*(14+3.95+1.46)*4500</f>
        <v>1787.0787000000005</v>
      </c>
      <c r="I9" s="68">
        <f>E9*57/2</f>
        <v>58311000.000000015</v>
      </c>
      <c r="J9" s="69">
        <f t="shared" ref="J9:J38" si="0">I9*0.0066*1.1</f>
        <v>423337.86000000016</v>
      </c>
      <c r="K9" s="67">
        <f>I9*0.0085*1.1</f>
        <v>545207.85000000021</v>
      </c>
      <c r="L9" s="66">
        <f>C9*2*'Outbound Carload Projections'!$L$14</f>
        <v>19411.764705882353</v>
      </c>
      <c r="M9" s="68">
        <f t="shared" ref="M9:M37" si="1">L9*4</f>
        <v>77647.058823529413</v>
      </c>
      <c r="N9" s="68">
        <f>E9/6.5</f>
        <v>314769.23076923087</v>
      </c>
      <c r="O9" s="70">
        <f>'Truck Elimination (Inbound)'!O9</f>
        <v>4.6500000000000004</v>
      </c>
      <c r="P9" s="67">
        <f t="shared" ref="P9:P37" si="2">O9*N9</f>
        <v>1463676.9230769237</v>
      </c>
      <c r="Q9" s="69">
        <f>E9*9.191*0.00220462/2000*16200</f>
        <v>335804.99922169209</v>
      </c>
      <c r="R9" s="69">
        <f>E9*0.215*0.00220462/2000*788100</f>
        <v>382145.86448379012</v>
      </c>
      <c r="S9" s="69">
        <f>E9*0.097*0.00220462/2000*44000</f>
        <v>9625.7324776800033</v>
      </c>
      <c r="T9" s="67">
        <f>F9+G9+H9+J9+K9+P9+Q9+R9+S9</f>
        <v>3511116.5163122457</v>
      </c>
      <c r="U9" s="67">
        <f>T9/(1+0.07)^A9</f>
        <v>2339605.1875583883</v>
      </c>
    </row>
    <row r="10" spans="1:21" ht="17.25" customHeight="1" x14ac:dyDescent="0.35">
      <c r="A10" s="64">
        <v>7</v>
      </c>
      <c r="B10" s="65">
        <v>2027</v>
      </c>
      <c r="C10" s="66">
        <f>'Outbound Carload Projections'!F5</f>
        <v>9705.8823529411766</v>
      </c>
      <c r="D10" s="66">
        <f>'Outbound Carload Projections'!$H$2</f>
        <v>105.4</v>
      </c>
      <c r="E10" s="66">
        <f>C10*D10*2*'Outbound Carload Projections'!$L$14</f>
        <v>6138000.0000000009</v>
      </c>
      <c r="F10" s="67">
        <f t="shared" ref="F10:F38" si="3">E10/100000000*11600000*1.46</f>
        <v>1039531.6800000002</v>
      </c>
      <c r="G10" s="67">
        <f t="shared" ref="G10:G37" si="4">E10/100000000*554800*0.047*5.66</f>
        <v>9058.9450564800009</v>
      </c>
      <c r="H10" s="67">
        <f t="shared" ref="H10:H38" si="5">E10/100000000*(14+3.95+1.46)*4500</f>
        <v>5361.236100000001</v>
      </c>
      <c r="I10" s="68">
        <f t="shared" ref="I10:I38" si="6">E10*57/2</f>
        <v>174933000.00000003</v>
      </c>
      <c r="J10" s="69">
        <f t="shared" si="0"/>
        <v>1270013.5800000003</v>
      </c>
      <c r="K10" s="67">
        <f t="shared" ref="K10:K38" si="7">I10*0.0085*1.1</f>
        <v>1635623.5500000007</v>
      </c>
      <c r="L10" s="66">
        <f>C10*2*'Outbound Carload Projections'!$L$14</f>
        <v>58235.294117647063</v>
      </c>
      <c r="M10" s="68">
        <f t="shared" si="1"/>
        <v>232941.17647058825</v>
      </c>
      <c r="N10" s="68">
        <f t="shared" ref="N10:N38" si="8">E10/6.5</f>
        <v>944307.69230769249</v>
      </c>
      <c r="O10" s="70">
        <f>'Truck Elimination (Inbound)'!O10</f>
        <v>4.6500000000000004</v>
      </c>
      <c r="P10" s="67">
        <f t="shared" si="2"/>
        <v>4391030.7692307699</v>
      </c>
      <c r="Q10" s="69">
        <f>E10*9.191*0.00220462/2000*16500</f>
        <v>1026070.8309551702</v>
      </c>
      <c r="R10" s="69">
        <f>E10*0.215*0.00220462/2000*801700</f>
        <v>1166221.3154040901</v>
      </c>
      <c r="S10" s="69">
        <f>E10*0.097*0.00220462/2000*44900</f>
        <v>29467.867380534008</v>
      </c>
      <c r="T10" s="67">
        <f t="shared" ref="T10:T38" si="9">F10+G10+H10+J10+K10+P10+Q10+R10+S10</f>
        <v>10572379.774127044</v>
      </c>
      <c r="U10" s="67">
        <f t="shared" ref="U10:U37" si="10">T10/(1+0.07)^A10</f>
        <v>6583946.7754434878</v>
      </c>
    </row>
    <row r="11" spans="1:21" ht="17.25" customHeight="1" x14ac:dyDescent="0.35">
      <c r="A11" s="64">
        <v>8</v>
      </c>
      <c r="B11" s="65">
        <v>2028</v>
      </c>
      <c r="C11" s="66">
        <f>'Outbound Carload Projections'!F6</f>
        <v>12941.176470588236</v>
      </c>
      <c r="D11" s="66">
        <f>'Outbound Carload Projections'!$H$2</f>
        <v>105.4</v>
      </c>
      <c r="E11" s="66">
        <f>C11*D11*2*'Outbound Carload Projections'!$L$14</f>
        <v>8184000.0000000019</v>
      </c>
      <c r="F11" s="67">
        <f t="shared" si="3"/>
        <v>1386042.2400000002</v>
      </c>
      <c r="G11" s="67">
        <f t="shared" si="4"/>
        <v>12078.593408640005</v>
      </c>
      <c r="H11" s="67">
        <f t="shared" si="5"/>
        <v>7148.3148000000019</v>
      </c>
      <c r="I11" s="68">
        <f t="shared" si="6"/>
        <v>233244000.00000006</v>
      </c>
      <c r="J11" s="69">
        <f t="shared" si="0"/>
        <v>1693351.4400000006</v>
      </c>
      <c r="K11" s="67">
        <f t="shared" si="7"/>
        <v>2180831.4000000008</v>
      </c>
      <c r="L11" s="66">
        <f>C11*2*'Outbound Carload Projections'!$L$14</f>
        <v>77647.058823529413</v>
      </c>
      <c r="M11" s="68">
        <f t="shared" si="1"/>
        <v>310588.23529411765</v>
      </c>
      <c r="N11" s="68">
        <f t="shared" si="8"/>
        <v>1259076.9230769235</v>
      </c>
      <c r="O11" s="70">
        <f>'Truck Elimination (Inbound)'!O11</f>
        <v>4.6500000000000004</v>
      </c>
      <c r="P11" s="67">
        <f t="shared" si="2"/>
        <v>5854707.6923076948</v>
      </c>
      <c r="Q11" s="69">
        <f>E11*9.191*0.00220462/2000*16800</f>
        <v>1392968.8856603524</v>
      </c>
      <c r="R11" s="69">
        <f>E11*0.215*0.00220462/2000*814500</f>
        <v>1579788.3853422005</v>
      </c>
      <c r="S11" s="69">
        <f>E11*0.097*0.00220462/2000*45700</f>
        <v>39990.543111816012</v>
      </c>
      <c r="T11" s="67">
        <f t="shared" si="9"/>
        <v>14146907.494630706</v>
      </c>
      <c r="U11" s="67">
        <f t="shared" si="10"/>
        <v>8233628.9633144485</v>
      </c>
    </row>
    <row r="12" spans="1:21" ht="17.25" customHeight="1" x14ac:dyDescent="0.35">
      <c r="A12" s="64">
        <v>9</v>
      </c>
      <c r="B12" s="65">
        <v>2029</v>
      </c>
      <c r="C12" s="66">
        <f>'Outbound Carload Projections'!F7</f>
        <v>12941.176470588236</v>
      </c>
      <c r="D12" s="66">
        <f>'Outbound Carload Projections'!$H$2</f>
        <v>105.4</v>
      </c>
      <c r="E12" s="66">
        <f>C12*D12*2*'Outbound Carload Projections'!$L$14</f>
        <v>8184000.0000000019</v>
      </c>
      <c r="F12" s="67">
        <f t="shared" si="3"/>
        <v>1386042.2400000002</v>
      </c>
      <c r="G12" s="67">
        <f t="shared" si="4"/>
        <v>12078.593408640005</v>
      </c>
      <c r="H12" s="67">
        <f t="shared" si="5"/>
        <v>7148.3148000000019</v>
      </c>
      <c r="I12" s="68">
        <f t="shared" si="6"/>
        <v>233244000.00000006</v>
      </c>
      <c r="J12" s="69">
        <f t="shared" si="0"/>
        <v>1693351.4400000006</v>
      </c>
      <c r="K12" s="67">
        <f t="shared" si="7"/>
        <v>2180831.4000000008</v>
      </c>
      <c r="L12" s="66">
        <f>C12*2*'Outbound Carload Projections'!$L$14</f>
        <v>77647.058823529413</v>
      </c>
      <c r="M12" s="68">
        <f t="shared" si="1"/>
        <v>310588.23529411765</v>
      </c>
      <c r="N12" s="68">
        <f t="shared" si="8"/>
        <v>1259076.9230769235</v>
      </c>
      <c r="O12" s="70">
        <f>'Truck Elimination (Inbound)'!O12</f>
        <v>4.6500000000000004</v>
      </c>
      <c r="P12" s="67">
        <f t="shared" si="2"/>
        <v>5854707.6923076948</v>
      </c>
      <c r="Q12" s="69">
        <f>E12*9.191*0.00220462/2000*17100</f>
        <v>1417843.3300471443</v>
      </c>
      <c r="R12" s="69">
        <f>E12*0.215*0.00220462/2000*827400</f>
        <v>1604808.9748706406</v>
      </c>
      <c r="S12" s="69">
        <f>E12*0.097*0.00220462/2000*46500</f>
        <v>40690.596382920012</v>
      </c>
      <c r="T12" s="67">
        <f t="shared" si="9"/>
        <v>14197502.58181704</v>
      </c>
      <c r="U12" s="67">
        <f t="shared" si="10"/>
        <v>7722500.7146758465</v>
      </c>
    </row>
    <row r="13" spans="1:21" ht="17.25" customHeight="1" x14ac:dyDescent="0.35">
      <c r="A13" s="64">
        <v>10</v>
      </c>
      <c r="B13" s="65">
        <v>2030</v>
      </c>
      <c r="C13" s="66">
        <f>'Outbound Carload Projections'!F8</f>
        <v>12941.176470588236</v>
      </c>
      <c r="D13" s="66">
        <f>'Outbound Carload Projections'!$H$2</f>
        <v>105.4</v>
      </c>
      <c r="E13" s="66">
        <f>C13*D13*2*'Outbound Carload Projections'!$L$14</f>
        <v>8184000.0000000019</v>
      </c>
      <c r="F13" s="67">
        <f t="shared" si="3"/>
        <v>1386042.2400000002</v>
      </c>
      <c r="G13" s="67">
        <f t="shared" si="4"/>
        <v>12078.593408640005</v>
      </c>
      <c r="H13" s="67">
        <f t="shared" si="5"/>
        <v>7148.3148000000019</v>
      </c>
      <c r="I13" s="68">
        <f t="shared" si="6"/>
        <v>233244000.00000006</v>
      </c>
      <c r="J13" s="69">
        <f t="shared" si="0"/>
        <v>1693351.4400000006</v>
      </c>
      <c r="K13" s="67">
        <f t="shared" si="7"/>
        <v>2180831.4000000008</v>
      </c>
      <c r="L13" s="66">
        <f>C13*2*'Outbound Carload Projections'!$L$14</f>
        <v>77647.058823529413</v>
      </c>
      <c r="M13" s="68">
        <f t="shared" si="1"/>
        <v>310588.23529411765</v>
      </c>
      <c r="N13" s="68">
        <f t="shared" si="8"/>
        <v>1259076.9230769235</v>
      </c>
      <c r="O13" s="70">
        <f>'Truck Elimination (Inbound)'!O13</f>
        <v>4.6500000000000004</v>
      </c>
      <c r="P13" s="67">
        <f t="shared" si="2"/>
        <v>5854707.6923076948</v>
      </c>
      <c r="Q13" s="69">
        <f>E13*9.191*0.00220462/2000*17400</f>
        <v>1442717.7744339365</v>
      </c>
      <c r="R13" s="69">
        <f>E13*0.215*0.00220462/2000*840600</f>
        <v>1630411.4385741604</v>
      </c>
      <c r="S13" s="69">
        <f>E13*0.097*0.00220462/2000*47300</f>
        <v>41390.649654024011</v>
      </c>
      <c r="T13" s="67">
        <f t="shared" si="9"/>
        <v>14248679.543178458</v>
      </c>
      <c r="U13" s="67">
        <f t="shared" si="10"/>
        <v>7243306.1596292034</v>
      </c>
    </row>
    <row r="14" spans="1:21" ht="17.25" customHeight="1" x14ac:dyDescent="0.35">
      <c r="A14" s="64">
        <v>11</v>
      </c>
      <c r="B14" s="65">
        <v>2031</v>
      </c>
      <c r="C14" s="66">
        <f>'Outbound Carload Projections'!F9</f>
        <v>12941.176470588236</v>
      </c>
      <c r="D14" s="66">
        <f>'Outbound Carload Projections'!$H$2</f>
        <v>105.4</v>
      </c>
      <c r="E14" s="66">
        <f>C14*D14*2*'Outbound Carload Projections'!$L$14</f>
        <v>8184000.0000000019</v>
      </c>
      <c r="F14" s="67">
        <f t="shared" si="3"/>
        <v>1386042.2400000002</v>
      </c>
      <c r="G14" s="67">
        <f t="shared" si="4"/>
        <v>12078.593408640005</v>
      </c>
      <c r="H14" s="67">
        <f t="shared" si="5"/>
        <v>7148.3148000000019</v>
      </c>
      <c r="I14" s="68">
        <f t="shared" si="6"/>
        <v>233244000.00000006</v>
      </c>
      <c r="J14" s="69">
        <f t="shared" si="0"/>
        <v>1693351.4400000006</v>
      </c>
      <c r="K14" s="67">
        <f t="shared" si="7"/>
        <v>2180831.4000000008</v>
      </c>
      <c r="L14" s="66">
        <f>C14*2*'Outbound Carload Projections'!$L$14</f>
        <v>77647.058823529413</v>
      </c>
      <c r="M14" s="68">
        <f t="shared" si="1"/>
        <v>310588.23529411765</v>
      </c>
      <c r="N14" s="68">
        <f t="shared" si="8"/>
        <v>1259076.9230769235</v>
      </c>
      <c r="O14" s="70">
        <f>'Truck Elimination (Inbound)'!O14</f>
        <v>4.6500000000000004</v>
      </c>
      <c r="P14" s="67">
        <f t="shared" si="2"/>
        <v>5854707.6923076948</v>
      </c>
      <c r="Q14" s="69">
        <f>E14*9.191*0.00220462/2000*17700</f>
        <v>1467592.2188207284</v>
      </c>
      <c r="R14" s="69">
        <f>E14*0.215*0.00220462/2000*854000</f>
        <v>1656401.8183944006</v>
      </c>
      <c r="S14" s="69">
        <f>E14*0.097*0.00220462/2000*48200</f>
        <v>42178.209584016011</v>
      </c>
      <c r="T14" s="67">
        <f t="shared" si="9"/>
        <v>14300331.927315481</v>
      </c>
      <c r="U14" s="67">
        <f t="shared" si="10"/>
        <v>6793984.6846189983</v>
      </c>
    </row>
    <row r="15" spans="1:21" ht="17.25" customHeight="1" x14ac:dyDescent="0.35">
      <c r="A15" s="64">
        <v>12</v>
      </c>
      <c r="B15" s="65">
        <v>2032</v>
      </c>
      <c r="C15" s="66">
        <f>'Outbound Carload Projections'!F10</f>
        <v>12941.176470588236</v>
      </c>
      <c r="D15" s="66">
        <f>'Outbound Carload Projections'!$H$2</f>
        <v>105.4</v>
      </c>
      <c r="E15" s="66">
        <f>C15*D15*2*'Outbound Carload Projections'!$L$14</f>
        <v>8184000.0000000019</v>
      </c>
      <c r="F15" s="67">
        <f t="shared" si="3"/>
        <v>1386042.2400000002</v>
      </c>
      <c r="G15" s="67">
        <f t="shared" si="4"/>
        <v>12078.593408640005</v>
      </c>
      <c r="H15" s="67">
        <f t="shared" si="5"/>
        <v>7148.3148000000019</v>
      </c>
      <c r="I15" s="68">
        <f t="shared" si="6"/>
        <v>233244000.00000006</v>
      </c>
      <c r="J15" s="69">
        <f t="shared" si="0"/>
        <v>1693351.4400000006</v>
      </c>
      <c r="K15" s="67">
        <f t="shared" si="7"/>
        <v>2180831.4000000008</v>
      </c>
      <c r="L15" s="66">
        <f>C15*2*'Outbound Carload Projections'!$L$14</f>
        <v>77647.058823529413</v>
      </c>
      <c r="M15" s="68">
        <f t="shared" si="1"/>
        <v>310588.23529411765</v>
      </c>
      <c r="N15" s="68">
        <f t="shared" si="8"/>
        <v>1259076.9230769235</v>
      </c>
      <c r="O15" s="70">
        <f>'Truck Elimination (Inbound)'!O15</f>
        <v>4.6500000000000004</v>
      </c>
      <c r="P15" s="67">
        <f t="shared" si="2"/>
        <v>5854707.6923076948</v>
      </c>
      <c r="Q15" s="69">
        <f>E15*9.191*0.00220462/2000*18100</f>
        <v>1500758.1446697845</v>
      </c>
      <c r="R15" s="69">
        <f>E15*0.215*0.00220462/2000*867600</f>
        <v>1682780.1143313604</v>
      </c>
      <c r="S15" s="69">
        <f>E15*0.097*0.00220462/2000*49100</f>
        <v>42965.76951400801</v>
      </c>
      <c r="T15" s="67">
        <f t="shared" si="9"/>
        <v>14360663.709031489</v>
      </c>
      <c r="U15" s="67">
        <f t="shared" si="10"/>
        <v>6376306.4294443959</v>
      </c>
    </row>
    <row r="16" spans="1:21" ht="17.25" customHeight="1" x14ac:dyDescent="0.35">
      <c r="A16" s="64">
        <v>13</v>
      </c>
      <c r="B16" s="65">
        <v>2033</v>
      </c>
      <c r="C16" s="66">
        <f>'Outbound Carload Projections'!F11</f>
        <v>12941.176470588236</v>
      </c>
      <c r="D16" s="66">
        <f>'Outbound Carload Projections'!$H$2</f>
        <v>105.4</v>
      </c>
      <c r="E16" s="66">
        <f>C16*D16*2*'Outbound Carload Projections'!$L$14</f>
        <v>8184000.0000000019</v>
      </c>
      <c r="F16" s="67">
        <f t="shared" si="3"/>
        <v>1386042.2400000002</v>
      </c>
      <c r="G16" s="67">
        <f t="shared" si="4"/>
        <v>12078.593408640005</v>
      </c>
      <c r="H16" s="67">
        <f t="shared" si="5"/>
        <v>7148.3148000000019</v>
      </c>
      <c r="I16" s="68">
        <f t="shared" si="6"/>
        <v>233244000.00000006</v>
      </c>
      <c r="J16" s="69">
        <f t="shared" si="0"/>
        <v>1693351.4400000006</v>
      </c>
      <c r="K16" s="67">
        <f t="shared" si="7"/>
        <v>2180831.4000000008</v>
      </c>
      <c r="L16" s="66">
        <f>C16*2*'Outbound Carload Projections'!$L$14</f>
        <v>77647.058823529413</v>
      </c>
      <c r="M16" s="68">
        <f t="shared" si="1"/>
        <v>310588.23529411765</v>
      </c>
      <c r="N16" s="68">
        <f t="shared" si="8"/>
        <v>1259076.9230769235</v>
      </c>
      <c r="O16" s="70">
        <f>'Truck Elimination (Inbound)'!O16</f>
        <v>4.6500000000000004</v>
      </c>
      <c r="P16" s="67">
        <f t="shared" si="2"/>
        <v>5854707.6923076948</v>
      </c>
      <c r="Q16" s="69">
        <f t="shared" ref="Q16:Q37" si="11">E16*9.191*0.00220462/2000*18100</f>
        <v>1500758.1446697845</v>
      </c>
      <c r="R16" s="69">
        <f t="shared" ref="R16:R37" si="12">E16*0.215*0.00220462/2000*867600</f>
        <v>1682780.1143313604</v>
      </c>
      <c r="S16" s="69">
        <f t="shared" ref="S16:S37" si="13">E16*0.097*0.00220462/2000*49100</f>
        <v>42965.76951400801</v>
      </c>
      <c r="T16" s="67">
        <f t="shared" si="9"/>
        <v>14360663.709031489</v>
      </c>
      <c r="U16" s="67">
        <f t="shared" si="10"/>
        <v>5959164.8873312101</v>
      </c>
    </row>
    <row r="17" spans="1:21" ht="17.25" customHeight="1" x14ac:dyDescent="0.35">
      <c r="A17" s="64">
        <v>14</v>
      </c>
      <c r="B17" s="65">
        <v>2034</v>
      </c>
      <c r="C17" s="66">
        <f>'Outbound Carload Projections'!F12</f>
        <v>12941.176470588236</v>
      </c>
      <c r="D17" s="66">
        <f>'Outbound Carload Projections'!$H$2</f>
        <v>105.4</v>
      </c>
      <c r="E17" s="66">
        <f>C17*D17*2*'Outbound Carload Projections'!$L$14</f>
        <v>8184000.0000000019</v>
      </c>
      <c r="F17" s="67">
        <f t="shared" si="3"/>
        <v>1386042.2400000002</v>
      </c>
      <c r="G17" s="67">
        <f t="shared" si="4"/>
        <v>12078.593408640005</v>
      </c>
      <c r="H17" s="67">
        <f t="shared" si="5"/>
        <v>7148.3148000000019</v>
      </c>
      <c r="I17" s="68">
        <f t="shared" si="6"/>
        <v>233244000.00000006</v>
      </c>
      <c r="J17" s="69">
        <f t="shared" si="0"/>
        <v>1693351.4400000006</v>
      </c>
      <c r="K17" s="67">
        <f t="shared" si="7"/>
        <v>2180831.4000000008</v>
      </c>
      <c r="L17" s="66">
        <f>C17*2*'Outbound Carload Projections'!$L$14</f>
        <v>77647.058823529413</v>
      </c>
      <c r="M17" s="68">
        <f t="shared" si="1"/>
        <v>310588.23529411765</v>
      </c>
      <c r="N17" s="68">
        <f t="shared" si="8"/>
        <v>1259076.9230769235</v>
      </c>
      <c r="O17" s="70">
        <f>'Truck Elimination (Inbound)'!O17</f>
        <v>4.6500000000000004</v>
      </c>
      <c r="P17" s="67">
        <f t="shared" si="2"/>
        <v>5854707.6923076948</v>
      </c>
      <c r="Q17" s="69">
        <f t="shared" si="11"/>
        <v>1500758.1446697845</v>
      </c>
      <c r="R17" s="69">
        <f t="shared" si="12"/>
        <v>1682780.1143313604</v>
      </c>
      <c r="S17" s="69">
        <f t="shared" si="13"/>
        <v>42965.76951400801</v>
      </c>
      <c r="T17" s="67">
        <f t="shared" si="9"/>
        <v>14360663.709031489</v>
      </c>
      <c r="U17" s="67">
        <f t="shared" si="10"/>
        <v>5569312.9788142154</v>
      </c>
    </row>
    <row r="18" spans="1:21" ht="17.25" customHeight="1" x14ac:dyDescent="0.35">
      <c r="A18" s="64">
        <v>15</v>
      </c>
      <c r="B18" s="65">
        <v>2035</v>
      </c>
      <c r="C18" s="66">
        <f>'Outbound Carload Projections'!F13</f>
        <v>12941.176470588236</v>
      </c>
      <c r="D18" s="66">
        <f>'Outbound Carload Projections'!$H$2</f>
        <v>105.4</v>
      </c>
      <c r="E18" s="66">
        <f>C18*D18*2*'Outbound Carload Projections'!$L$14</f>
        <v>8184000.0000000019</v>
      </c>
      <c r="F18" s="67">
        <f t="shared" si="3"/>
        <v>1386042.2400000002</v>
      </c>
      <c r="G18" s="67">
        <f t="shared" si="4"/>
        <v>12078.593408640005</v>
      </c>
      <c r="H18" s="67">
        <f t="shared" si="5"/>
        <v>7148.3148000000019</v>
      </c>
      <c r="I18" s="68">
        <f t="shared" si="6"/>
        <v>233244000.00000006</v>
      </c>
      <c r="J18" s="69">
        <f t="shared" si="0"/>
        <v>1693351.4400000006</v>
      </c>
      <c r="K18" s="67">
        <f t="shared" si="7"/>
        <v>2180831.4000000008</v>
      </c>
      <c r="L18" s="66">
        <f>C18*2*'Outbound Carload Projections'!$L$14</f>
        <v>77647.058823529413</v>
      </c>
      <c r="M18" s="68">
        <f t="shared" si="1"/>
        <v>310588.23529411765</v>
      </c>
      <c r="N18" s="68">
        <f t="shared" si="8"/>
        <v>1259076.9230769235</v>
      </c>
      <c r="O18" s="70">
        <f>'Truck Elimination (Inbound)'!O18</f>
        <v>4.6500000000000004</v>
      </c>
      <c r="P18" s="67">
        <f t="shared" si="2"/>
        <v>5854707.6923076948</v>
      </c>
      <c r="Q18" s="69">
        <f t="shared" si="11"/>
        <v>1500758.1446697845</v>
      </c>
      <c r="R18" s="69">
        <f t="shared" si="12"/>
        <v>1682780.1143313604</v>
      </c>
      <c r="S18" s="69">
        <f t="shared" si="13"/>
        <v>42965.76951400801</v>
      </c>
      <c r="T18" s="67">
        <f t="shared" si="9"/>
        <v>14360663.709031489</v>
      </c>
      <c r="U18" s="67">
        <f t="shared" si="10"/>
        <v>5204965.4007609487</v>
      </c>
    </row>
    <row r="19" spans="1:21" ht="17.25" customHeight="1" x14ac:dyDescent="0.35">
      <c r="A19" s="64">
        <v>16</v>
      </c>
      <c r="B19" s="65">
        <v>2036</v>
      </c>
      <c r="C19" s="66">
        <f>'Outbound Carload Projections'!F14</f>
        <v>12941.176470588236</v>
      </c>
      <c r="D19" s="66">
        <f>'Outbound Carload Projections'!$H$2</f>
        <v>105.4</v>
      </c>
      <c r="E19" s="66">
        <f>C19*D19*2*'Outbound Carload Projections'!$L$14</f>
        <v>8184000.0000000019</v>
      </c>
      <c r="F19" s="67">
        <f t="shared" si="3"/>
        <v>1386042.2400000002</v>
      </c>
      <c r="G19" s="67">
        <f t="shared" si="4"/>
        <v>12078.593408640005</v>
      </c>
      <c r="H19" s="67">
        <f t="shared" si="5"/>
        <v>7148.3148000000019</v>
      </c>
      <c r="I19" s="68">
        <f t="shared" si="6"/>
        <v>233244000.00000006</v>
      </c>
      <c r="J19" s="69">
        <f t="shared" si="0"/>
        <v>1693351.4400000006</v>
      </c>
      <c r="K19" s="67">
        <f t="shared" si="7"/>
        <v>2180831.4000000008</v>
      </c>
      <c r="L19" s="66">
        <f>C19*2*'Outbound Carload Projections'!$L$14</f>
        <v>77647.058823529413</v>
      </c>
      <c r="M19" s="68">
        <f t="shared" si="1"/>
        <v>310588.23529411765</v>
      </c>
      <c r="N19" s="68">
        <f t="shared" si="8"/>
        <v>1259076.9230769235</v>
      </c>
      <c r="O19" s="70">
        <f>'Truck Elimination (Inbound)'!O19</f>
        <v>4.6500000000000004</v>
      </c>
      <c r="P19" s="67">
        <f t="shared" si="2"/>
        <v>5854707.6923076948</v>
      </c>
      <c r="Q19" s="69">
        <f t="shared" si="11"/>
        <v>1500758.1446697845</v>
      </c>
      <c r="R19" s="69">
        <f t="shared" si="12"/>
        <v>1682780.1143313604</v>
      </c>
      <c r="S19" s="69">
        <f t="shared" si="13"/>
        <v>42965.76951400801</v>
      </c>
      <c r="T19" s="67">
        <f t="shared" si="9"/>
        <v>14360663.709031489</v>
      </c>
      <c r="U19" s="67">
        <f t="shared" si="10"/>
        <v>4864453.6455709804</v>
      </c>
    </row>
    <row r="20" spans="1:21" ht="17.25" customHeight="1" x14ac:dyDescent="0.35">
      <c r="A20" s="64">
        <v>17</v>
      </c>
      <c r="B20" s="65">
        <v>2037</v>
      </c>
      <c r="C20" s="66">
        <f>'Outbound Carload Projections'!F15</f>
        <v>12941.176470588236</v>
      </c>
      <c r="D20" s="66">
        <f>'Outbound Carload Projections'!$H$2</f>
        <v>105.4</v>
      </c>
      <c r="E20" s="66">
        <f>C20*D20*2*'Outbound Carload Projections'!$L$14</f>
        <v>8184000.0000000019</v>
      </c>
      <c r="F20" s="67">
        <f t="shared" si="3"/>
        <v>1386042.2400000002</v>
      </c>
      <c r="G20" s="67">
        <f t="shared" si="4"/>
        <v>12078.593408640005</v>
      </c>
      <c r="H20" s="67">
        <f t="shared" si="5"/>
        <v>7148.3148000000019</v>
      </c>
      <c r="I20" s="68">
        <f t="shared" si="6"/>
        <v>233244000.00000006</v>
      </c>
      <c r="J20" s="69">
        <f t="shared" si="0"/>
        <v>1693351.4400000006</v>
      </c>
      <c r="K20" s="67">
        <f t="shared" si="7"/>
        <v>2180831.4000000008</v>
      </c>
      <c r="L20" s="66">
        <f>C20*2*'Outbound Carload Projections'!$L$14</f>
        <v>77647.058823529413</v>
      </c>
      <c r="M20" s="68">
        <f t="shared" si="1"/>
        <v>310588.23529411765</v>
      </c>
      <c r="N20" s="68">
        <f t="shared" si="8"/>
        <v>1259076.9230769235</v>
      </c>
      <c r="O20" s="70">
        <f>'Truck Elimination (Inbound)'!O20</f>
        <v>4.6500000000000004</v>
      </c>
      <c r="P20" s="67">
        <f t="shared" si="2"/>
        <v>5854707.6923076948</v>
      </c>
      <c r="Q20" s="69">
        <f t="shared" si="11"/>
        <v>1500758.1446697845</v>
      </c>
      <c r="R20" s="69">
        <f t="shared" si="12"/>
        <v>1682780.1143313604</v>
      </c>
      <c r="S20" s="69">
        <f t="shared" si="13"/>
        <v>42965.76951400801</v>
      </c>
      <c r="T20" s="67">
        <f t="shared" si="9"/>
        <v>14360663.709031489</v>
      </c>
      <c r="U20" s="67">
        <f t="shared" si="10"/>
        <v>4546218.3603467112</v>
      </c>
    </row>
    <row r="21" spans="1:21" ht="17.25" customHeight="1" x14ac:dyDescent="0.35">
      <c r="A21" s="64">
        <v>18</v>
      </c>
      <c r="B21" s="65">
        <v>2038</v>
      </c>
      <c r="C21" s="66">
        <f>'Outbound Carload Projections'!F16</f>
        <v>12941.176470588236</v>
      </c>
      <c r="D21" s="66">
        <f>'Outbound Carload Projections'!$H$2</f>
        <v>105.4</v>
      </c>
      <c r="E21" s="66">
        <f>C21*D21*2*'Outbound Carload Projections'!$L$14</f>
        <v>8184000.0000000019</v>
      </c>
      <c r="F21" s="67">
        <f t="shared" si="3"/>
        <v>1386042.2400000002</v>
      </c>
      <c r="G21" s="67">
        <f t="shared" si="4"/>
        <v>12078.593408640005</v>
      </c>
      <c r="H21" s="67">
        <f t="shared" si="5"/>
        <v>7148.3148000000019</v>
      </c>
      <c r="I21" s="68">
        <f t="shared" si="6"/>
        <v>233244000.00000006</v>
      </c>
      <c r="J21" s="69">
        <f t="shared" si="0"/>
        <v>1693351.4400000006</v>
      </c>
      <c r="K21" s="67">
        <f t="shared" si="7"/>
        <v>2180831.4000000008</v>
      </c>
      <c r="L21" s="66">
        <f>C21*2*'Outbound Carload Projections'!$L$14</f>
        <v>77647.058823529413</v>
      </c>
      <c r="M21" s="68">
        <f t="shared" si="1"/>
        <v>310588.23529411765</v>
      </c>
      <c r="N21" s="68">
        <f t="shared" si="8"/>
        <v>1259076.9230769235</v>
      </c>
      <c r="O21" s="70">
        <f>'Truck Elimination (Inbound)'!O21</f>
        <v>4.6500000000000004</v>
      </c>
      <c r="P21" s="67">
        <f t="shared" si="2"/>
        <v>5854707.6923076948</v>
      </c>
      <c r="Q21" s="69">
        <f t="shared" si="11"/>
        <v>1500758.1446697845</v>
      </c>
      <c r="R21" s="69">
        <f t="shared" si="12"/>
        <v>1682780.1143313604</v>
      </c>
      <c r="S21" s="69">
        <f t="shared" si="13"/>
        <v>42965.76951400801</v>
      </c>
      <c r="T21" s="67">
        <f t="shared" si="9"/>
        <v>14360663.709031489</v>
      </c>
      <c r="U21" s="67">
        <f t="shared" si="10"/>
        <v>4248802.2059315052</v>
      </c>
    </row>
    <row r="22" spans="1:21" ht="17.25" customHeight="1" x14ac:dyDescent="0.35">
      <c r="A22" s="64">
        <v>19</v>
      </c>
      <c r="B22" s="65">
        <v>2039</v>
      </c>
      <c r="C22" s="66">
        <f>'Outbound Carload Projections'!F17</f>
        <v>12941.176470588236</v>
      </c>
      <c r="D22" s="66">
        <f>'Outbound Carload Projections'!$H$2</f>
        <v>105.4</v>
      </c>
      <c r="E22" s="66">
        <f>C22*D22*2*'Outbound Carload Projections'!$L$14</f>
        <v>8184000.0000000019</v>
      </c>
      <c r="F22" s="67">
        <f t="shared" si="3"/>
        <v>1386042.2400000002</v>
      </c>
      <c r="G22" s="67">
        <f t="shared" si="4"/>
        <v>12078.593408640005</v>
      </c>
      <c r="H22" s="67">
        <f t="shared" si="5"/>
        <v>7148.3148000000019</v>
      </c>
      <c r="I22" s="68">
        <f t="shared" si="6"/>
        <v>233244000.00000006</v>
      </c>
      <c r="J22" s="69">
        <f t="shared" si="0"/>
        <v>1693351.4400000006</v>
      </c>
      <c r="K22" s="67">
        <f t="shared" si="7"/>
        <v>2180831.4000000008</v>
      </c>
      <c r="L22" s="66">
        <f>C22*2*'Outbound Carload Projections'!$L$14</f>
        <v>77647.058823529413</v>
      </c>
      <c r="M22" s="68">
        <f t="shared" si="1"/>
        <v>310588.23529411765</v>
      </c>
      <c r="N22" s="68">
        <f t="shared" si="8"/>
        <v>1259076.9230769235</v>
      </c>
      <c r="O22" s="70">
        <f>'Truck Elimination (Inbound)'!O22</f>
        <v>4.6500000000000004</v>
      </c>
      <c r="P22" s="67">
        <f t="shared" si="2"/>
        <v>5854707.6923076948</v>
      </c>
      <c r="Q22" s="69">
        <f t="shared" si="11"/>
        <v>1500758.1446697845</v>
      </c>
      <c r="R22" s="69">
        <f t="shared" si="12"/>
        <v>1682780.1143313604</v>
      </c>
      <c r="S22" s="69">
        <f t="shared" si="13"/>
        <v>42965.76951400801</v>
      </c>
      <c r="T22" s="67">
        <f t="shared" si="9"/>
        <v>14360663.709031489</v>
      </c>
      <c r="U22" s="67">
        <f t="shared" si="10"/>
        <v>3970843.1831135564</v>
      </c>
    </row>
    <row r="23" spans="1:21" ht="17.25" customHeight="1" x14ac:dyDescent="0.35">
      <c r="A23" s="64">
        <v>20</v>
      </c>
      <c r="B23" s="65">
        <v>2040</v>
      </c>
      <c r="C23" s="66">
        <f>'Outbound Carload Projections'!F18</f>
        <v>12941.176470588236</v>
      </c>
      <c r="D23" s="66">
        <f>'Outbound Carload Projections'!$H$2</f>
        <v>105.4</v>
      </c>
      <c r="E23" s="66">
        <f>C23*D23*2*'Outbound Carload Projections'!$L$14</f>
        <v>8184000.0000000019</v>
      </c>
      <c r="F23" s="67">
        <f t="shared" si="3"/>
        <v>1386042.2400000002</v>
      </c>
      <c r="G23" s="67">
        <f t="shared" si="4"/>
        <v>12078.593408640005</v>
      </c>
      <c r="H23" s="67">
        <f t="shared" si="5"/>
        <v>7148.3148000000019</v>
      </c>
      <c r="I23" s="68">
        <f t="shared" si="6"/>
        <v>233244000.00000006</v>
      </c>
      <c r="J23" s="69">
        <f t="shared" si="0"/>
        <v>1693351.4400000006</v>
      </c>
      <c r="K23" s="67">
        <f t="shared" si="7"/>
        <v>2180831.4000000008</v>
      </c>
      <c r="L23" s="66">
        <f>C23*2*'Outbound Carload Projections'!$L$14</f>
        <v>77647.058823529413</v>
      </c>
      <c r="M23" s="68">
        <f t="shared" si="1"/>
        <v>310588.23529411765</v>
      </c>
      <c r="N23" s="68">
        <f t="shared" si="8"/>
        <v>1259076.9230769235</v>
      </c>
      <c r="O23" s="70">
        <f>'Truck Elimination (Inbound)'!O23</f>
        <v>4.6500000000000004</v>
      </c>
      <c r="P23" s="67">
        <f t="shared" si="2"/>
        <v>5854707.6923076948</v>
      </c>
      <c r="Q23" s="69">
        <f t="shared" si="11"/>
        <v>1500758.1446697845</v>
      </c>
      <c r="R23" s="69">
        <f t="shared" si="12"/>
        <v>1682780.1143313604</v>
      </c>
      <c r="S23" s="69">
        <f t="shared" si="13"/>
        <v>42965.76951400801</v>
      </c>
      <c r="T23" s="67">
        <f t="shared" si="9"/>
        <v>14360663.709031489</v>
      </c>
      <c r="U23" s="67">
        <f t="shared" si="10"/>
        <v>3711068.3954332303</v>
      </c>
    </row>
    <row r="24" spans="1:21" ht="17.25" customHeight="1" x14ac:dyDescent="0.35">
      <c r="A24" s="64">
        <v>21</v>
      </c>
      <c r="B24" s="65">
        <v>2041</v>
      </c>
      <c r="C24" s="66">
        <f>'Outbound Carload Projections'!F19</f>
        <v>12941.176470588236</v>
      </c>
      <c r="D24" s="66">
        <f>'Outbound Carload Projections'!$H$2</f>
        <v>105.4</v>
      </c>
      <c r="E24" s="66">
        <f>C24*D24*2*'Outbound Carload Projections'!$L$14</f>
        <v>8184000.0000000019</v>
      </c>
      <c r="F24" s="67">
        <f t="shared" si="3"/>
        <v>1386042.2400000002</v>
      </c>
      <c r="G24" s="67">
        <f t="shared" si="4"/>
        <v>12078.593408640005</v>
      </c>
      <c r="H24" s="67">
        <f t="shared" si="5"/>
        <v>7148.3148000000019</v>
      </c>
      <c r="I24" s="68">
        <f t="shared" si="6"/>
        <v>233244000.00000006</v>
      </c>
      <c r="J24" s="69">
        <f t="shared" si="0"/>
        <v>1693351.4400000006</v>
      </c>
      <c r="K24" s="67">
        <f t="shared" si="7"/>
        <v>2180831.4000000008</v>
      </c>
      <c r="L24" s="66">
        <f>C24*2*'Outbound Carload Projections'!$L$14</f>
        <v>77647.058823529413</v>
      </c>
      <c r="M24" s="68">
        <f t="shared" si="1"/>
        <v>310588.23529411765</v>
      </c>
      <c r="N24" s="68">
        <f t="shared" si="8"/>
        <v>1259076.9230769235</v>
      </c>
      <c r="O24" s="70">
        <f>'Truck Elimination (Inbound)'!O24</f>
        <v>4.6500000000000004</v>
      </c>
      <c r="P24" s="67">
        <f t="shared" si="2"/>
        <v>5854707.6923076948</v>
      </c>
      <c r="Q24" s="69">
        <f t="shared" si="11"/>
        <v>1500758.1446697845</v>
      </c>
      <c r="R24" s="69">
        <f t="shared" si="12"/>
        <v>1682780.1143313604</v>
      </c>
      <c r="S24" s="69">
        <f t="shared" si="13"/>
        <v>42965.76951400801</v>
      </c>
      <c r="T24" s="67">
        <f t="shared" si="9"/>
        <v>14360663.709031489</v>
      </c>
      <c r="U24" s="67">
        <f t="shared" si="10"/>
        <v>3468288.2200310561</v>
      </c>
    </row>
    <row r="25" spans="1:21" ht="17.25" customHeight="1" x14ac:dyDescent="0.35">
      <c r="A25" s="64">
        <v>22</v>
      </c>
      <c r="B25" s="65">
        <v>2042</v>
      </c>
      <c r="C25" s="66">
        <f>'Outbound Carload Projections'!F20</f>
        <v>12941.176470588236</v>
      </c>
      <c r="D25" s="66">
        <f>'Outbound Carload Projections'!$H$2</f>
        <v>105.4</v>
      </c>
      <c r="E25" s="66">
        <f>C25*D25*2*'Outbound Carload Projections'!$L$14</f>
        <v>8184000.0000000019</v>
      </c>
      <c r="F25" s="67">
        <f t="shared" si="3"/>
        <v>1386042.2400000002</v>
      </c>
      <c r="G25" s="67">
        <f t="shared" si="4"/>
        <v>12078.593408640005</v>
      </c>
      <c r="H25" s="67">
        <f t="shared" si="5"/>
        <v>7148.3148000000019</v>
      </c>
      <c r="I25" s="68">
        <f t="shared" si="6"/>
        <v>233244000.00000006</v>
      </c>
      <c r="J25" s="69">
        <f t="shared" si="0"/>
        <v>1693351.4400000006</v>
      </c>
      <c r="K25" s="67">
        <f t="shared" si="7"/>
        <v>2180831.4000000008</v>
      </c>
      <c r="L25" s="66">
        <f>C25*2*'Outbound Carload Projections'!$L$14</f>
        <v>77647.058823529413</v>
      </c>
      <c r="M25" s="68">
        <f t="shared" si="1"/>
        <v>310588.23529411765</v>
      </c>
      <c r="N25" s="68">
        <f t="shared" si="8"/>
        <v>1259076.9230769235</v>
      </c>
      <c r="O25" s="70">
        <f>'Truck Elimination (Inbound)'!O25</f>
        <v>4.6500000000000004</v>
      </c>
      <c r="P25" s="67">
        <f t="shared" si="2"/>
        <v>5854707.6923076948</v>
      </c>
      <c r="Q25" s="69">
        <f t="shared" si="11"/>
        <v>1500758.1446697845</v>
      </c>
      <c r="R25" s="69">
        <f t="shared" si="12"/>
        <v>1682780.1143313604</v>
      </c>
      <c r="S25" s="69">
        <f t="shared" si="13"/>
        <v>42965.76951400801</v>
      </c>
      <c r="T25" s="67">
        <f t="shared" si="9"/>
        <v>14360663.709031489</v>
      </c>
      <c r="U25" s="67">
        <f t="shared" si="10"/>
        <v>3241390.8598421086</v>
      </c>
    </row>
    <row r="26" spans="1:21" ht="17.25" customHeight="1" x14ac:dyDescent="0.35">
      <c r="A26" s="64">
        <v>23</v>
      </c>
      <c r="B26" s="65">
        <v>2043</v>
      </c>
      <c r="C26" s="66">
        <f>'Outbound Carload Projections'!F21</f>
        <v>12941.176470588236</v>
      </c>
      <c r="D26" s="66">
        <f>'Outbound Carload Projections'!$H$2</f>
        <v>105.4</v>
      </c>
      <c r="E26" s="66">
        <f>C26*D26*2*'Outbound Carload Projections'!$L$14</f>
        <v>8184000.0000000019</v>
      </c>
      <c r="F26" s="67">
        <f t="shared" si="3"/>
        <v>1386042.2400000002</v>
      </c>
      <c r="G26" s="67">
        <f t="shared" si="4"/>
        <v>12078.593408640005</v>
      </c>
      <c r="H26" s="67">
        <f t="shared" si="5"/>
        <v>7148.3148000000019</v>
      </c>
      <c r="I26" s="68">
        <f t="shared" si="6"/>
        <v>233244000.00000006</v>
      </c>
      <c r="J26" s="69">
        <f t="shared" si="0"/>
        <v>1693351.4400000006</v>
      </c>
      <c r="K26" s="67">
        <f t="shared" si="7"/>
        <v>2180831.4000000008</v>
      </c>
      <c r="L26" s="66">
        <f>C26*2*'Outbound Carload Projections'!$L$14</f>
        <v>77647.058823529413</v>
      </c>
      <c r="M26" s="68">
        <f t="shared" si="1"/>
        <v>310588.23529411765</v>
      </c>
      <c r="N26" s="68">
        <f t="shared" si="8"/>
        <v>1259076.9230769235</v>
      </c>
      <c r="O26" s="70">
        <f>'Truck Elimination (Inbound)'!O26</f>
        <v>4.6500000000000004</v>
      </c>
      <c r="P26" s="67">
        <f t="shared" si="2"/>
        <v>5854707.6923076948</v>
      </c>
      <c r="Q26" s="69">
        <f t="shared" si="11"/>
        <v>1500758.1446697845</v>
      </c>
      <c r="R26" s="69">
        <f t="shared" si="12"/>
        <v>1682780.1143313604</v>
      </c>
      <c r="S26" s="69">
        <f t="shared" si="13"/>
        <v>42965.76951400801</v>
      </c>
      <c r="T26" s="67">
        <f t="shared" si="9"/>
        <v>14360663.709031489</v>
      </c>
      <c r="U26" s="67">
        <f t="shared" si="10"/>
        <v>3029337.2521888865</v>
      </c>
    </row>
    <row r="27" spans="1:21" ht="17.25" customHeight="1" x14ac:dyDescent="0.35">
      <c r="A27" s="64">
        <v>24</v>
      </c>
      <c r="B27" s="65">
        <v>2044</v>
      </c>
      <c r="C27" s="66">
        <f>'Outbound Carload Projections'!F22</f>
        <v>12941.176470588236</v>
      </c>
      <c r="D27" s="66">
        <f>'Outbound Carload Projections'!$H$2</f>
        <v>105.4</v>
      </c>
      <c r="E27" s="66">
        <f>C27*D27*2*'Outbound Carload Projections'!$L$14</f>
        <v>8184000.0000000019</v>
      </c>
      <c r="F27" s="67">
        <f t="shared" si="3"/>
        <v>1386042.2400000002</v>
      </c>
      <c r="G27" s="67">
        <f t="shared" si="4"/>
        <v>12078.593408640005</v>
      </c>
      <c r="H27" s="67">
        <f t="shared" si="5"/>
        <v>7148.3148000000019</v>
      </c>
      <c r="I27" s="68">
        <f t="shared" si="6"/>
        <v>233244000.00000006</v>
      </c>
      <c r="J27" s="69">
        <f t="shared" si="0"/>
        <v>1693351.4400000006</v>
      </c>
      <c r="K27" s="67">
        <f t="shared" si="7"/>
        <v>2180831.4000000008</v>
      </c>
      <c r="L27" s="66">
        <f>C27*2*'Outbound Carload Projections'!$L$14</f>
        <v>77647.058823529413</v>
      </c>
      <c r="M27" s="68">
        <f t="shared" si="1"/>
        <v>310588.23529411765</v>
      </c>
      <c r="N27" s="68">
        <f t="shared" si="8"/>
        <v>1259076.9230769235</v>
      </c>
      <c r="O27" s="70">
        <f>'Truck Elimination (Inbound)'!O27</f>
        <v>4.6500000000000004</v>
      </c>
      <c r="P27" s="67">
        <f t="shared" si="2"/>
        <v>5854707.6923076948</v>
      </c>
      <c r="Q27" s="69">
        <f t="shared" si="11"/>
        <v>1500758.1446697845</v>
      </c>
      <c r="R27" s="69">
        <f t="shared" si="12"/>
        <v>1682780.1143313604</v>
      </c>
      <c r="S27" s="69">
        <f t="shared" si="13"/>
        <v>42965.76951400801</v>
      </c>
      <c r="T27" s="67">
        <f t="shared" si="9"/>
        <v>14360663.709031489</v>
      </c>
      <c r="U27" s="67">
        <f t="shared" si="10"/>
        <v>2831156.3104569032</v>
      </c>
    </row>
    <row r="28" spans="1:21" ht="17.25" customHeight="1" x14ac:dyDescent="0.35">
      <c r="A28" s="64">
        <v>25</v>
      </c>
      <c r="B28" s="65">
        <v>2045</v>
      </c>
      <c r="C28" s="66">
        <f>'Outbound Carload Projections'!F23</f>
        <v>12941.176470588236</v>
      </c>
      <c r="D28" s="66">
        <f>'Outbound Carload Projections'!$H$2</f>
        <v>105.4</v>
      </c>
      <c r="E28" s="66">
        <f>C28*D28*2*'Outbound Carload Projections'!$L$14</f>
        <v>8184000.0000000019</v>
      </c>
      <c r="F28" s="67">
        <f t="shared" si="3"/>
        <v>1386042.2400000002</v>
      </c>
      <c r="G28" s="67">
        <f t="shared" si="4"/>
        <v>12078.593408640005</v>
      </c>
      <c r="H28" s="67">
        <f t="shared" si="5"/>
        <v>7148.3148000000019</v>
      </c>
      <c r="I28" s="68">
        <f t="shared" si="6"/>
        <v>233244000.00000006</v>
      </c>
      <c r="J28" s="69">
        <f t="shared" si="0"/>
        <v>1693351.4400000006</v>
      </c>
      <c r="K28" s="67">
        <f t="shared" si="7"/>
        <v>2180831.4000000008</v>
      </c>
      <c r="L28" s="66">
        <f>C28*2*'Outbound Carload Projections'!$L$14</f>
        <v>77647.058823529413</v>
      </c>
      <c r="M28" s="68">
        <f t="shared" si="1"/>
        <v>310588.23529411765</v>
      </c>
      <c r="N28" s="68">
        <f t="shared" si="8"/>
        <v>1259076.9230769235</v>
      </c>
      <c r="O28" s="70">
        <f>'Truck Elimination (Inbound)'!O28</f>
        <v>4.6500000000000004</v>
      </c>
      <c r="P28" s="67">
        <f t="shared" si="2"/>
        <v>5854707.6923076948</v>
      </c>
      <c r="Q28" s="69">
        <f t="shared" si="11"/>
        <v>1500758.1446697845</v>
      </c>
      <c r="R28" s="69">
        <f t="shared" si="12"/>
        <v>1682780.1143313604</v>
      </c>
      <c r="S28" s="69">
        <f t="shared" si="13"/>
        <v>42965.76951400801</v>
      </c>
      <c r="T28" s="67">
        <f t="shared" si="9"/>
        <v>14360663.709031489</v>
      </c>
      <c r="U28" s="67">
        <f t="shared" si="10"/>
        <v>2645940.4770625262</v>
      </c>
    </row>
    <row r="29" spans="1:21" ht="17.25" customHeight="1" x14ac:dyDescent="0.35">
      <c r="A29" s="64">
        <v>26</v>
      </c>
      <c r="B29" s="65">
        <v>2046</v>
      </c>
      <c r="C29" s="66">
        <f>'Outbound Carload Projections'!F24</f>
        <v>12941.176470588236</v>
      </c>
      <c r="D29" s="66">
        <f>'Outbound Carload Projections'!$H$2</f>
        <v>105.4</v>
      </c>
      <c r="E29" s="66">
        <f>C29*D29*2*'Outbound Carload Projections'!$L$14</f>
        <v>8184000.0000000019</v>
      </c>
      <c r="F29" s="67">
        <f t="shared" si="3"/>
        <v>1386042.2400000002</v>
      </c>
      <c r="G29" s="67">
        <f t="shared" si="4"/>
        <v>12078.593408640005</v>
      </c>
      <c r="H29" s="67">
        <f t="shared" si="5"/>
        <v>7148.3148000000019</v>
      </c>
      <c r="I29" s="68">
        <f t="shared" si="6"/>
        <v>233244000.00000006</v>
      </c>
      <c r="J29" s="69">
        <f t="shared" si="0"/>
        <v>1693351.4400000006</v>
      </c>
      <c r="K29" s="67">
        <f t="shared" si="7"/>
        <v>2180831.4000000008</v>
      </c>
      <c r="L29" s="66">
        <f>C29*2*'Outbound Carload Projections'!$L$14</f>
        <v>77647.058823529413</v>
      </c>
      <c r="M29" s="68">
        <f t="shared" si="1"/>
        <v>310588.23529411765</v>
      </c>
      <c r="N29" s="68">
        <f t="shared" si="8"/>
        <v>1259076.9230769235</v>
      </c>
      <c r="O29" s="70">
        <f>'Truck Elimination (Inbound)'!O29</f>
        <v>4.6500000000000004</v>
      </c>
      <c r="P29" s="67">
        <f t="shared" si="2"/>
        <v>5854707.6923076948</v>
      </c>
      <c r="Q29" s="69">
        <f t="shared" si="11"/>
        <v>1500758.1446697845</v>
      </c>
      <c r="R29" s="69">
        <f t="shared" si="12"/>
        <v>1682780.1143313604</v>
      </c>
      <c r="S29" s="69">
        <f t="shared" si="13"/>
        <v>42965.76951400801</v>
      </c>
      <c r="T29" s="67">
        <f t="shared" si="9"/>
        <v>14360663.709031489</v>
      </c>
      <c r="U29" s="67">
        <f t="shared" si="10"/>
        <v>2472841.5673481557</v>
      </c>
    </row>
    <row r="30" spans="1:21" ht="17.25" customHeight="1" x14ac:dyDescent="0.35">
      <c r="A30" s="64">
        <v>27</v>
      </c>
      <c r="B30" s="65">
        <v>2047</v>
      </c>
      <c r="C30" s="66">
        <f>'Outbound Carload Projections'!F25</f>
        <v>12941.176470588236</v>
      </c>
      <c r="D30" s="66">
        <f>'Outbound Carload Projections'!$H$2</f>
        <v>105.4</v>
      </c>
      <c r="E30" s="66">
        <f>C30*D30*2*'Outbound Carload Projections'!$L$14</f>
        <v>8184000.0000000019</v>
      </c>
      <c r="F30" s="67">
        <f t="shared" si="3"/>
        <v>1386042.2400000002</v>
      </c>
      <c r="G30" s="67">
        <f t="shared" si="4"/>
        <v>12078.593408640005</v>
      </c>
      <c r="H30" s="67">
        <f t="shared" si="5"/>
        <v>7148.3148000000019</v>
      </c>
      <c r="I30" s="68">
        <f t="shared" si="6"/>
        <v>233244000.00000006</v>
      </c>
      <c r="J30" s="69">
        <f t="shared" si="0"/>
        <v>1693351.4400000006</v>
      </c>
      <c r="K30" s="67">
        <f t="shared" si="7"/>
        <v>2180831.4000000008</v>
      </c>
      <c r="L30" s="66">
        <f>C30*2*'Outbound Carload Projections'!$L$14</f>
        <v>77647.058823529413</v>
      </c>
      <c r="M30" s="68">
        <f t="shared" si="1"/>
        <v>310588.23529411765</v>
      </c>
      <c r="N30" s="68">
        <f t="shared" si="8"/>
        <v>1259076.9230769235</v>
      </c>
      <c r="O30" s="70">
        <f>'Truck Elimination (Inbound)'!O30</f>
        <v>4.6500000000000004</v>
      </c>
      <c r="P30" s="67">
        <f t="shared" si="2"/>
        <v>5854707.6923076948</v>
      </c>
      <c r="Q30" s="69">
        <f t="shared" si="11"/>
        <v>1500758.1446697845</v>
      </c>
      <c r="R30" s="69">
        <f t="shared" si="12"/>
        <v>1682780.1143313604</v>
      </c>
      <c r="S30" s="69">
        <f t="shared" si="13"/>
        <v>42965.76951400801</v>
      </c>
      <c r="T30" s="67">
        <f t="shared" si="9"/>
        <v>14360663.709031489</v>
      </c>
      <c r="U30" s="67">
        <f t="shared" si="10"/>
        <v>2311066.8853721074</v>
      </c>
    </row>
    <row r="31" spans="1:21" ht="17.25" customHeight="1" x14ac:dyDescent="0.35">
      <c r="A31" s="64">
        <v>28</v>
      </c>
      <c r="B31" s="65">
        <v>2048</v>
      </c>
      <c r="C31" s="66">
        <f>'Outbound Carload Projections'!F26</f>
        <v>12941.176470588236</v>
      </c>
      <c r="D31" s="66">
        <f>'Outbound Carload Projections'!$H$2</f>
        <v>105.4</v>
      </c>
      <c r="E31" s="66">
        <f>C31*D31*2*'Outbound Carload Projections'!$L$14</f>
        <v>8184000.0000000019</v>
      </c>
      <c r="F31" s="67">
        <f t="shared" si="3"/>
        <v>1386042.2400000002</v>
      </c>
      <c r="G31" s="67">
        <f t="shared" si="4"/>
        <v>12078.593408640005</v>
      </c>
      <c r="H31" s="67">
        <f t="shared" si="5"/>
        <v>7148.3148000000019</v>
      </c>
      <c r="I31" s="68">
        <f t="shared" si="6"/>
        <v>233244000.00000006</v>
      </c>
      <c r="J31" s="69">
        <f t="shared" si="0"/>
        <v>1693351.4400000006</v>
      </c>
      <c r="K31" s="67">
        <f t="shared" si="7"/>
        <v>2180831.4000000008</v>
      </c>
      <c r="L31" s="66">
        <f>C31*2*'Outbound Carload Projections'!$L$14</f>
        <v>77647.058823529413</v>
      </c>
      <c r="M31" s="68">
        <f t="shared" si="1"/>
        <v>310588.23529411765</v>
      </c>
      <c r="N31" s="68">
        <f t="shared" si="8"/>
        <v>1259076.9230769235</v>
      </c>
      <c r="O31" s="70">
        <f>'Truck Elimination (Inbound)'!O31</f>
        <v>4.6500000000000004</v>
      </c>
      <c r="P31" s="67">
        <f t="shared" si="2"/>
        <v>5854707.6923076948</v>
      </c>
      <c r="Q31" s="69">
        <f t="shared" si="11"/>
        <v>1500758.1446697845</v>
      </c>
      <c r="R31" s="69">
        <f t="shared" si="12"/>
        <v>1682780.1143313604</v>
      </c>
      <c r="S31" s="69">
        <f t="shared" si="13"/>
        <v>42965.76951400801</v>
      </c>
      <c r="T31" s="67">
        <f t="shared" si="9"/>
        <v>14360663.709031489</v>
      </c>
      <c r="U31" s="67">
        <f t="shared" si="10"/>
        <v>2159875.5938057085</v>
      </c>
    </row>
    <row r="32" spans="1:21" ht="17.25" customHeight="1" x14ac:dyDescent="0.35">
      <c r="A32" s="64">
        <v>29</v>
      </c>
      <c r="B32" s="65">
        <v>2049</v>
      </c>
      <c r="C32" s="66">
        <f>'Outbound Carload Projections'!F27</f>
        <v>12941.176470588236</v>
      </c>
      <c r="D32" s="66">
        <f>'Outbound Carload Projections'!$H$2</f>
        <v>105.4</v>
      </c>
      <c r="E32" s="66">
        <f>C32*D32*2*'Outbound Carload Projections'!$L$14</f>
        <v>8184000.0000000019</v>
      </c>
      <c r="F32" s="67">
        <f t="shared" si="3"/>
        <v>1386042.2400000002</v>
      </c>
      <c r="G32" s="67">
        <f t="shared" si="4"/>
        <v>12078.593408640005</v>
      </c>
      <c r="H32" s="67">
        <f t="shared" si="5"/>
        <v>7148.3148000000019</v>
      </c>
      <c r="I32" s="68">
        <f t="shared" si="6"/>
        <v>233244000.00000006</v>
      </c>
      <c r="J32" s="69">
        <f t="shared" si="0"/>
        <v>1693351.4400000006</v>
      </c>
      <c r="K32" s="67">
        <f t="shared" si="7"/>
        <v>2180831.4000000008</v>
      </c>
      <c r="L32" s="66">
        <f>C32*2*'Outbound Carload Projections'!$L$14</f>
        <v>77647.058823529413</v>
      </c>
      <c r="M32" s="68">
        <f t="shared" si="1"/>
        <v>310588.23529411765</v>
      </c>
      <c r="N32" s="68">
        <f t="shared" si="8"/>
        <v>1259076.9230769235</v>
      </c>
      <c r="O32" s="70">
        <f>'Truck Elimination (Inbound)'!O32</f>
        <v>4.6500000000000004</v>
      </c>
      <c r="P32" s="67">
        <f t="shared" si="2"/>
        <v>5854707.6923076948</v>
      </c>
      <c r="Q32" s="69">
        <f t="shared" si="11"/>
        <v>1500758.1446697845</v>
      </c>
      <c r="R32" s="69">
        <f t="shared" si="12"/>
        <v>1682780.1143313604</v>
      </c>
      <c r="S32" s="69">
        <f t="shared" si="13"/>
        <v>42965.76951400801</v>
      </c>
      <c r="T32" s="67">
        <f t="shared" si="9"/>
        <v>14360663.709031489</v>
      </c>
      <c r="U32" s="67">
        <f t="shared" si="10"/>
        <v>2018575.321313746</v>
      </c>
    </row>
    <row r="33" spans="1:21" ht="17.25" customHeight="1" x14ac:dyDescent="0.35">
      <c r="A33" s="64">
        <v>30</v>
      </c>
      <c r="B33" s="65">
        <v>2050</v>
      </c>
      <c r="C33" s="66">
        <f>'Outbound Carload Projections'!F28</f>
        <v>12941.176470588236</v>
      </c>
      <c r="D33" s="66">
        <f>'Outbound Carload Projections'!$H$2</f>
        <v>105.4</v>
      </c>
      <c r="E33" s="66">
        <f>C33*D33*2*'Outbound Carload Projections'!$L$14</f>
        <v>8184000.0000000019</v>
      </c>
      <c r="F33" s="67">
        <f t="shared" si="3"/>
        <v>1386042.2400000002</v>
      </c>
      <c r="G33" s="67">
        <f t="shared" si="4"/>
        <v>12078.593408640005</v>
      </c>
      <c r="H33" s="67">
        <f t="shared" si="5"/>
        <v>7148.3148000000019</v>
      </c>
      <c r="I33" s="68">
        <f t="shared" si="6"/>
        <v>233244000.00000006</v>
      </c>
      <c r="J33" s="69">
        <f t="shared" si="0"/>
        <v>1693351.4400000006</v>
      </c>
      <c r="K33" s="67">
        <f t="shared" si="7"/>
        <v>2180831.4000000008</v>
      </c>
      <c r="L33" s="66">
        <f>C33*2*'Outbound Carload Projections'!$L$14</f>
        <v>77647.058823529413</v>
      </c>
      <c r="M33" s="68">
        <f t="shared" si="1"/>
        <v>310588.23529411765</v>
      </c>
      <c r="N33" s="68">
        <f t="shared" si="8"/>
        <v>1259076.9230769235</v>
      </c>
      <c r="O33" s="70">
        <f>'Truck Elimination (Inbound)'!O33</f>
        <v>4.6500000000000004</v>
      </c>
      <c r="P33" s="67">
        <f t="shared" si="2"/>
        <v>5854707.6923076948</v>
      </c>
      <c r="Q33" s="69">
        <f t="shared" si="11"/>
        <v>1500758.1446697845</v>
      </c>
      <c r="R33" s="69">
        <f t="shared" si="12"/>
        <v>1682780.1143313604</v>
      </c>
      <c r="S33" s="69">
        <f t="shared" si="13"/>
        <v>42965.76951400801</v>
      </c>
      <c r="T33" s="67">
        <f t="shared" si="9"/>
        <v>14360663.709031489</v>
      </c>
      <c r="U33" s="67">
        <f t="shared" si="10"/>
        <v>1886518.9918820057</v>
      </c>
    </row>
    <row r="34" spans="1:21" ht="17.25" customHeight="1" x14ac:dyDescent="0.35">
      <c r="A34" s="64">
        <v>31</v>
      </c>
      <c r="B34" s="65">
        <v>2051</v>
      </c>
      <c r="C34" s="66">
        <f>'Outbound Carload Projections'!F29</f>
        <v>12941.176470588236</v>
      </c>
      <c r="D34" s="66">
        <f>'Outbound Carload Projections'!$H$2</f>
        <v>105.4</v>
      </c>
      <c r="E34" s="66">
        <f>C34*D34*2*'Outbound Carload Projections'!$L$14</f>
        <v>8184000.0000000019</v>
      </c>
      <c r="F34" s="67">
        <f t="shared" si="3"/>
        <v>1386042.2400000002</v>
      </c>
      <c r="G34" s="67">
        <f t="shared" si="4"/>
        <v>12078.593408640005</v>
      </c>
      <c r="H34" s="67">
        <f t="shared" si="5"/>
        <v>7148.3148000000019</v>
      </c>
      <c r="I34" s="68">
        <f t="shared" si="6"/>
        <v>233244000.00000006</v>
      </c>
      <c r="J34" s="69">
        <f t="shared" si="0"/>
        <v>1693351.4400000006</v>
      </c>
      <c r="K34" s="67">
        <f t="shared" si="7"/>
        <v>2180831.4000000008</v>
      </c>
      <c r="L34" s="66">
        <f>C34*2*'Outbound Carload Projections'!$L$14</f>
        <v>77647.058823529413</v>
      </c>
      <c r="M34" s="68">
        <f t="shared" si="1"/>
        <v>310588.23529411765</v>
      </c>
      <c r="N34" s="68">
        <f t="shared" si="8"/>
        <v>1259076.9230769235</v>
      </c>
      <c r="O34" s="70">
        <f>'Truck Elimination (Inbound)'!O34</f>
        <v>4.6500000000000004</v>
      </c>
      <c r="P34" s="67">
        <f t="shared" si="2"/>
        <v>5854707.6923076948</v>
      </c>
      <c r="Q34" s="69">
        <f t="shared" si="11"/>
        <v>1500758.1446697845</v>
      </c>
      <c r="R34" s="69">
        <f t="shared" si="12"/>
        <v>1682780.1143313604</v>
      </c>
      <c r="S34" s="69">
        <f t="shared" si="13"/>
        <v>42965.76951400801</v>
      </c>
      <c r="T34" s="67">
        <f t="shared" si="9"/>
        <v>14360663.709031489</v>
      </c>
      <c r="U34" s="67">
        <f t="shared" si="10"/>
        <v>1763101.8615719676</v>
      </c>
    </row>
    <row r="35" spans="1:21" ht="17.25" customHeight="1" x14ac:dyDescent="0.35">
      <c r="A35" s="64">
        <v>32</v>
      </c>
      <c r="B35" s="65">
        <v>2052</v>
      </c>
      <c r="C35" s="66">
        <f>'Outbound Carload Projections'!F30</f>
        <v>12941.176470588236</v>
      </c>
      <c r="D35" s="66">
        <f>'Outbound Carload Projections'!$H$2</f>
        <v>105.4</v>
      </c>
      <c r="E35" s="66">
        <f>C35*D35*2*'Outbound Carload Projections'!$L$14</f>
        <v>8184000.0000000019</v>
      </c>
      <c r="F35" s="67">
        <f t="shared" si="3"/>
        <v>1386042.2400000002</v>
      </c>
      <c r="G35" s="67">
        <f t="shared" si="4"/>
        <v>12078.593408640005</v>
      </c>
      <c r="H35" s="67">
        <f t="shared" si="5"/>
        <v>7148.3148000000019</v>
      </c>
      <c r="I35" s="68">
        <f t="shared" si="6"/>
        <v>233244000.00000006</v>
      </c>
      <c r="J35" s="69">
        <f t="shared" si="0"/>
        <v>1693351.4400000006</v>
      </c>
      <c r="K35" s="67">
        <f t="shared" si="7"/>
        <v>2180831.4000000008</v>
      </c>
      <c r="L35" s="66">
        <f>C35*2*'Outbound Carload Projections'!$L$14</f>
        <v>77647.058823529413</v>
      </c>
      <c r="M35" s="68">
        <f t="shared" si="1"/>
        <v>310588.23529411765</v>
      </c>
      <c r="N35" s="68">
        <f t="shared" si="8"/>
        <v>1259076.9230769235</v>
      </c>
      <c r="O35" s="70">
        <f>'Truck Elimination (Inbound)'!O35</f>
        <v>4.6500000000000004</v>
      </c>
      <c r="P35" s="67">
        <f t="shared" si="2"/>
        <v>5854707.6923076948</v>
      </c>
      <c r="Q35" s="69">
        <f t="shared" si="11"/>
        <v>1500758.1446697845</v>
      </c>
      <c r="R35" s="69">
        <f t="shared" si="12"/>
        <v>1682780.1143313604</v>
      </c>
      <c r="S35" s="69">
        <f t="shared" si="13"/>
        <v>42965.76951400801</v>
      </c>
      <c r="T35" s="67">
        <f t="shared" si="9"/>
        <v>14360663.709031489</v>
      </c>
      <c r="U35" s="67">
        <f t="shared" si="10"/>
        <v>1647758.7491326802</v>
      </c>
    </row>
    <row r="36" spans="1:21" ht="17.25" customHeight="1" x14ac:dyDescent="0.35">
      <c r="A36" s="64">
        <v>33</v>
      </c>
      <c r="B36" s="65">
        <v>2053</v>
      </c>
      <c r="C36" s="66">
        <f>'Outbound Carload Projections'!F31</f>
        <v>12941.176470588236</v>
      </c>
      <c r="D36" s="66">
        <f>'Outbound Carload Projections'!$H$2</f>
        <v>105.4</v>
      </c>
      <c r="E36" s="66">
        <f>C36*D36*2*'Outbound Carload Projections'!$L$14</f>
        <v>8184000.0000000019</v>
      </c>
      <c r="F36" s="67">
        <f t="shared" si="3"/>
        <v>1386042.2400000002</v>
      </c>
      <c r="G36" s="67">
        <f t="shared" si="4"/>
        <v>12078.593408640005</v>
      </c>
      <c r="H36" s="67">
        <f t="shared" si="5"/>
        <v>7148.3148000000019</v>
      </c>
      <c r="I36" s="68">
        <f t="shared" si="6"/>
        <v>233244000.00000006</v>
      </c>
      <c r="J36" s="69">
        <f t="shared" si="0"/>
        <v>1693351.4400000006</v>
      </c>
      <c r="K36" s="67">
        <f t="shared" si="7"/>
        <v>2180831.4000000008</v>
      </c>
      <c r="L36" s="66">
        <f>C36*2*'Outbound Carload Projections'!$L$14</f>
        <v>77647.058823529413</v>
      </c>
      <c r="M36" s="68">
        <f t="shared" si="1"/>
        <v>310588.23529411765</v>
      </c>
      <c r="N36" s="68">
        <f t="shared" si="8"/>
        <v>1259076.9230769235</v>
      </c>
      <c r="O36" s="70">
        <f>'Truck Elimination (Inbound)'!O36</f>
        <v>4.6500000000000004</v>
      </c>
      <c r="P36" s="67">
        <f t="shared" si="2"/>
        <v>5854707.6923076948</v>
      </c>
      <c r="Q36" s="69">
        <f t="shared" si="11"/>
        <v>1500758.1446697845</v>
      </c>
      <c r="R36" s="69">
        <f t="shared" si="12"/>
        <v>1682780.1143313604</v>
      </c>
      <c r="S36" s="69">
        <f t="shared" si="13"/>
        <v>42965.76951400801</v>
      </c>
      <c r="T36" s="67">
        <f t="shared" si="9"/>
        <v>14360663.709031489</v>
      </c>
      <c r="U36" s="67">
        <f t="shared" si="10"/>
        <v>1539961.4477875517</v>
      </c>
    </row>
    <row r="37" spans="1:21" s="58" customFormat="1" ht="17" customHeight="1" x14ac:dyDescent="0.35">
      <c r="A37" s="64">
        <v>34</v>
      </c>
      <c r="B37" s="65">
        <v>2054</v>
      </c>
      <c r="C37" s="66">
        <f>'Outbound Carload Projections'!F32</f>
        <v>12941.176470588236</v>
      </c>
      <c r="D37" s="66">
        <f>'Outbound Carload Projections'!$H$2</f>
        <v>105.4</v>
      </c>
      <c r="E37" s="66">
        <f>C37*D37*2*'Outbound Carload Projections'!$L$14</f>
        <v>8184000.0000000019</v>
      </c>
      <c r="F37" s="67">
        <f t="shared" si="3"/>
        <v>1386042.2400000002</v>
      </c>
      <c r="G37" s="67">
        <f t="shared" si="4"/>
        <v>12078.593408640005</v>
      </c>
      <c r="H37" s="67">
        <f t="shared" si="5"/>
        <v>7148.3148000000019</v>
      </c>
      <c r="I37" s="68">
        <f t="shared" si="6"/>
        <v>233244000.00000006</v>
      </c>
      <c r="J37" s="69">
        <f t="shared" si="0"/>
        <v>1693351.4400000006</v>
      </c>
      <c r="K37" s="67">
        <f t="shared" si="7"/>
        <v>2180831.4000000008</v>
      </c>
      <c r="L37" s="66">
        <f>C37*2*'Outbound Carload Projections'!$L$14</f>
        <v>77647.058823529413</v>
      </c>
      <c r="M37" s="68">
        <f t="shared" si="1"/>
        <v>310588.23529411765</v>
      </c>
      <c r="N37" s="68">
        <f t="shared" si="8"/>
        <v>1259076.9230769235</v>
      </c>
      <c r="O37" s="70">
        <f>'Truck Elimination (Inbound)'!O37</f>
        <v>4.6500000000000004</v>
      </c>
      <c r="P37" s="67">
        <f t="shared" si="2"/>
        <v>5854707.6923076948</v>
      </c>
      <c r="Q37" s="69">
        <f t="shared" si="11"/>
        <v>1500758.1446697845</v>
      </c>
      <c r="R37" s="69">
        <f t="shared" si="12"/>
        <v>1682780.1143313604</v>
      </c>
      <c r="S37" s="69">
        <f t="shared" si="13"/>
        <v>42965.76951400801</v>
      </c>
      <c r="T37" s="67">
        <f t="shared" si="9"/>
        <v>14360663.709031489</v>
      </c>
      <c r="U37" s="67">
        <f t="shared" si="10"/>
        <v>1439216.3063435063</v>
      </c>
    </row>
    <row r="38" spans="1:21" s="58" customFormat="1" ht="17.25" customHeight="1" thickBot="1" x14ac:dyDescent="0.4">
      <c r="A38" s="234">
        <v>35</v>
      </c>
      <c r="B38" s="235">
        <v>2055</v>
      </c>
      <c r="C38" s="236">
        <f>'Outbound Carload Projections'!F33</f>
        <v>12941.176470588236</v>
      </c>
      <c r="D38" s="236">
        <f>'Outbound Carload Projections'!$H$2</f>
        <v>105.4</v>
      </c>
      <c r="E38" s="236">
        <f>C38*D38*2*'Outbound Carload Projections'!$L$14</f>
        <v>8184000.0000000019</v>
      </c>
      <c r="F38" s="67">
        <f t="shared" si="3"/>
        <v>1386042.2400000002</v>
      </c>
      <c r="G38" s="237">
        <f>E38/100000000*554800*0.047*5.66</f>
        <v>12078.593408640005</v>
      </c>
      <c r="H38" s="67">
        <f t="shared" si="5"/>
        <v>7148.3148000000019</v>
      </c>
      <c r="I38" s="238">
        <f t="shared" si="6"/>
        <v>233244000.00000006</v>
      </c>
      <c r="J38" s="240">
        <f t="shared" si="0"/>
        <v>1693351.4400000006</v>
      </c>
      <c r="K38" s="249">
        <f t="shared" si="7"/>
        <v>2180831.4000000008</v>
      </c>
      <c r="L38" s="236">
        <f>C38*2*'Outbound Carload Projections'!$L$14</f>
        <v>77647.058823529413</v>
      </c>
      <c r="M38" s="238">
        <f>L38*4</f>
        <v>310588.23529411765</v>
      </c>
      <c r="N38" s="238">
        <f t="shared" si="8"/>
        <v>1259076.9230769235</v>
      </c>
      <c r="O38" s="239">
        <f>'Truck Elimination (Inbound)'!O38</f>
        <v>4.6500000000000004</v>
      </c>
      <c r="P38" s="237">
        <f>O38*N38</f>
        <v>5854707.6923076948</v>
      </c>
      <c r="Q38" s="240">
        <f>E38*9.191*0.00220462/2000*18100</f>
        <v>1500758.1446697845</v>
      </c>
      <c r="R38" s="240">
        <f>E38*0.215*0.00220462/2000*867600</f>
        <v>1682780.1143313604</v>
      </c>
      <c r="S38" s="240">
        <f>E38*0.097*0.00220462/2000*49100</f>
        <v>42965.76951400801</v>
      </c>
      <c r="T38" s="67">
        <f t="shared" si="9"/>
        <v>14360663.709031489</v>
      </c>
      <c r="U38" s="237">
        <f>T38/(1+0.07)^A38</f>
        <v>1345061.9685453328</v>
      </c>
    </row>
    <row r="39" spans="1:21" s="74" customFormat="1" ht="15.5" thickBot="1" x14ac:dyDescent="0.4">
      <c r="A39" s="71"/>
      <c r="B39" s="72"/>
      <c r="C39" s="228">
        <f>SUM(C3:C38)</f>
        <v>375294.11764705885</v>
      </c>
      <c r="D39" s="73"/>
      <c r="E39" s="229">
        <f>SUM(E3:E38)</f>
        <v>237336000.00000003</v>
      </c>
      <c r="F39" s="230">
        <f>SUM(F3:F38)</f>
        <v>40195224.960000038</v>
      </c>
      <c r="G39" s="230">
        <f>SUM(G3:G38)</f>
        <v>350279.20885056019</v>
      </c>
      <c r="H39" s="230">
        <f>SUM(H3:H38)</f>
        <v>207301.1292</v>
      </c>
      <c r="I39" s="231">
        <f t="shared" ref="I39:N39" si="14">SUM(I9:I38)</f>
        <v>6764076000.000001</v>
      </c>
      <c r="J39" s="248">
        <f t="shared" si="14"/>
        <v>49107191.759999998</v>
      </c>
      <c r="K39" s="250">
        <f t="shared" si="14"/>
        <v>63244110.600000001</v>
      </c>
      <c r="L39" s="231">
        <f t="shared" si="14"/>
        <v>2251764.7058823532</v>
      </c>
      <c r="M39" s="228">
        <f t="shared" si="14"/>
        <v>9007058.823529413</v>
      </c>
      <c r="N39" s="232">
        <f t="shared" si="14"/>
        <v>36513230.769230783</v>
      </c>
      <c r="O39" s="73"/>
      <c r="P39" s="230">
        <f>SUM(P3:P38)</f>
        <v>169786523.07692307</v>
      </c>
      <c r="Q39" s="260">
        <f>SUM(Q3:S38)</f>
        <v>92742216.119163036</v>
      </c>
      <c r="R39" s="261"/>
      <c r="S39" s="261"/>
      <c r="T39" s="230">
        <f>SUM(T3:T38)</f>
        <v>415632846.85413647</v>
      </c>
      <c r="U39" s="233">
        <f>SUM(U3:U38)</f>
        <v>117168199.78467135</v>
      </c>
    </row>
    <row r="40" spans="1:21" s="58" customFormat="1" ht="17.5" customHeight="1" x14ac:dyDescent="0.35">
      <c r="A40" s="75"/>
      <c r="B40" s="76" t="s">
        <v>2</v>
      </c>
      <c r="C40" s="77"/>
      <c r="D40" s="78"/>
      <c r="E40" s="79"/>
      <c r="F40" s="79"/>
      <c r="G40" s="80">
        <f>SUM(F39:H39)/T39</f>
        <v>9.8050011221448338E-2</v>
      </c>
      <c r="H40" s="81"/>
      <c r="I40" s="82"/>
      <c r="J40" s="271" cm="1">
        <f t="array" ref="J40">SUM(J39:K39/T39)</f>
        <v>0.27031381954138223</v>
      </c>
      <c r="K40" s="272"/>
      <c r="L40" s="79"/>
      <c r="M40" s="82"/>
      <c r="N40" s="84"/>
      <c r="O40" s="78"/>
      <c r="P40" s="83">
        <f>P39/T39</f>
        <v>0.40850121534429279</v>
      </c>
      <c r="Q40" s="85"/>
      <c r="R40" s="83">
        <f>Q39/T39</f>
        <v>0.22313495389287721</v>
      </c>
      <c r="S40" s="86"/>
      <c r="T40" s="86"/>
      <c r="U40" s="79"/>
    </row>
    <row r="41" spans="1:21" s="58" customFormat="1" ht="15" customHeight="1" x14ac:dyDescent="0.3">
      <c r="G41" s="87">
        <f>G40*U39</f>
        <v>11488343.303683927</v>
      </c>
      <c r="I41" s="88"/>
      <c r="J41" s="273">
        <f>J40*U39</f>
        <v>31672183.61258227</v>
      </c>
      <c r="K41" s="273"/>
      <c r="M41" s="88"/>
      <c r="N41" s="90"/>
      <c r="P41" s="89">
        <f>P40*U39</f>
        <v>47863352.011741154</v>
      </c>
      <c r="R41" s="89">
        <f>R40*U39</f>
        <v>26144320.856664069</v>
      </c>
    </row>
    <row r="43" spans="1:21" s="58" customFormat="1" x14ac:dyDescent="0.3">
      <c r="E43" s="262"/>
      <c r="F43" s="263"/>
      <c r="G43" s="263"/>
      <c r="H43" s="87"/>
      <c r="I43" s="88"/>
      <c r="K43" s="92"/>
      <c r="M43" s="88"/>
      <c r="N43" s="90"/>
    </row>
    <row r="44" spans="1:21" s="58" customFormat="1" ht="15" customHeight="1" x14ac:dyDescent="0.3">
      <c r="E44" s="263"/>
      <c r="F44" s="263"/>
      <c r="G44" s="263"/>
      <c r="I44" s="88"/>
      <c r="M44" s="88"/>
      <c r="N44" s="90"/>
      <c r="O44" s="93"/>
      <c r="P44" s="94"/>
      <c r="Q44" s="95"/>
      <c r="R44" s="95"/>
      <c r="S44" s="95"/>
    </row>
    <row r="45" spans="1:21" s="58" customFormat="1" ht="15" customHeight="1" x14ac:dyDescent="0.3">
      <c r="E45" s="262"/>
      <c r="F45" s="263"/>
      <c r="G45" s="263"/>
      <c r="I45" s="88"/>
      <c r="M45" s="88"/>
      <c r="N45" s="90"/>
      <c r="O45" s="87"/>
      <c r="Q45" s="95"/>
      <c r="R45" s="95"/>
      <c r="S45" s="95"/>
    </row>
    <row r="46" spans="1:21" s="58" customFormat="1" ht="15" customHeight="1" x14ac:dyDescent="0.3">
      <c r="E46" s="263"/>
      <c r="F46" s="263"/>
      <c r="G46" s="263"/>
      <c r="I46" s="88"/>
      <c r="M46" s="88"/>
      <c r="N46" s="90"/>
      <c r="Q46" s="95"/>
      <c r="R46" s="95"/>
      <c r="S46" s="95"/>
    </row>
    <row r="47" spans="1:21" s="58" customFormat="1" ht="15" customHeight="1" x14ac:dyDescent="0.3">
      <c r="E47" s="263"/>
      <c r="F47" s="263"/>
      <c r="G47" s="263"/>
      <c r="I47" s="88"/>
      <c r="L47" s="96"/>
      <c r="M47" s="88"/>
      <c r="N47" s="90"/>
      <c r="Q47" s="95"/>
      <c r="R47" s="95"/>
      <c r="S47" s="95"/>
    </row>
    <row r="48" spans="1:21" s="58" customFormat="1" ht="15" customHeight="1" x14ac:dyDescent="0.3">
      <c r="E48" s="263"/>
      <c r="F48" s="263"/>
      <c r="G48" s="263"/>
      <c r="I48" s="88"/>
      <c r="M48" s="88"/>
      <c r="N48" s="90"/>
      <c r="Q48" s="95"/>
      <c r="R48" s="95"/>
      <c r="S48" s="95"/>
    </row>
    <row r="49" spans="6:21" s="58" customFormat="1" ht="15" customHeight="1" x14ac:dyDescent="0.3">
      <c r="F49" s="87"/>
      <c r="G49" s="87"/>
      <c r="H49" s="87"/>
      <c r="I49" s="88"/>
      <c r="J49" s="97"/>
      <c r="K49" s="87"/>
      <c r="M49" s="88"/>
      <c r="N49" s="90"/>
      <c r="P49" s="97"/>
      <c r="Q49" s="95"/>
      <c r="R49" s="95"/>
      <c r="S49" s="95"/>
      <c r="U49" s="87"/>
    </row>
    <row r="50" spans="6:21" s="58" customFormat="1" ht="15" customHeight="1" x14ac:dyDescent="0.3">
      <c r="F50" s="98"/>
      <c r="G50" s="98"/>
      <c r="H50" s="98"/>
      <c r="I50" s="97"/>
      <c r="K50" s="98"/>
      <c r="M50" s="88"/>
      <c r="N50" s="90"/>
      <c r="P50" s="98"/>
      <c r="Q50" s="95"/>
      <c r="R50" s="95"/>
      <c r="S50" s="95"/>
      <c r="U50" s="99"/>
    </row>
    <row r="51" spans="6:21" s="58" customFormat="1" ht="15" customHeight="1" x14ac:dyDescent="0.3">
      <c r="G51" s="96"/>
      <c r="I51" s="88"/>
      <c r="K51" s="95"/>
      <c r="L51" s="96"/>
      <c r="M51" s="88"/>
      <c r="N51" s="90"/>
      <c r="O51" s="88"/>
      <c r="Q51" s="95"/>
      <c r="R51" s="95"/>
      <c r="S51" s="95"/>
    </row>
    <row r="52" spans="6:21" ht="15" customHeight="1" x14ac:dyDescent="0.3">
      <c r="K52" s="95"/>
      <c r="Q52" s="95"/>
      <c r="R52" s="95"/>
      <c r="S52" s="95"/>
    </row>
    <row r="53" spans="6:21" ht="15" customHeight="1" x14ac:dyDescent="0.3">
      <c r="K53" s="95"/>
      <c r="Q53" s="95"/>
      <c r="R53" s="95"/>
      <c r="S53" s="95"/>
    </row>
    <row r="54" spans="6:21" ht="15" customHeight="1" x14ac:dyDescent="0.3">
      <c r="K54" s="95"/>
      <c r="Q54" s="95"/>
      <c r="R54" s="95"/>
      <c r="S54" s="95"/>
    </row>
    <row r="55" spans="6:21" ht="15" customHeight="1" x14ac:dyDescent="0.3">
      <c r="K55" s="95"/>
      <c r="Q55" s="95"/>
      <c r="R55" s="95"/>
      <c r="S55" s="95"/>
    </row>
    <row r="56" spans="6:21" ht="15" customHeight="1" x14ac:dyDescent="0.3">
      <c r="K56" s="95"/>
      <c r="Q56" s="95"/>
      <c r="R56" s="95"/>
      <c r="S56" s="95"/>
    </row>
    <row r="57" spans="6:21" ht="15" customHeight="1" x14ac:dyDescent="0.3">
      <c r="K57" s="95"/>
      <c r="Q57" s="95"/>
      <c r="R57" s="95"/>
      <c r="S57" s="95"/>
    </row>
    <row r="58" spans="6:21" ht="15" customHeight="1" x14ac:dyDescent="0.3">
      <c r="K58" s="95"/>
      <c r="Q58" s="95"/>
      <c r="R58" s="95"/>
      <c r="S58" s="95"/>
    </row>
    <row r="59" spans="6:21" ht="15" customHeight="1" x14ac:dyDescent="0.3">
      <c r="K59" s="95"/>
      <c r="Q59" s="95"/>
      <c r="R59" s="95"/>
      <c r="S59" s="95"/>
    </row>
    <row r="60" spans="6:21" ht="15" customHeight="1" x14ac:dyDescent="0.3">
      <c r="K60" s="95"/>
      <c r="Q60" s="95"/>
      <c r="R60" s="95"/>
      <c r="S60" s="95"/>
    </row>
    <row r="61" spans="6:21" ht="15" customHeight="1" x14ac:dyDescent="0.3">
      <c r="K61" s="95"/>
      <c r="Q61" s="95"/>
      <c r="R61" s="95"/>
      <c r="S61" s="95"/>
    </row>
    <row r="62" spans="6:21" ht="15" customHeight="1" x14ac:dyDescent="0.3">
      <c r="K62" s="95"/>
      <c r="Q62" s="95"/>
      <c r="R62" s="95"/>
      <c r="S62" s="95"/>
    </row>
    <row r="63" spans="6:21" ht="15" customHeight="1" x14ac:dyDescent="0.3">
      <c r="K63" s="95"/>
      <c r="Q63" s="95"/>
      <c r="R63" s="95"/>
      <c r="S63" s="95"/>
    </row>
    <row r="64" spans="6:21" ht="15" customHeight="1" x14ac:dyDescent="0.3">
      <c r="K64" s="95"/>
      <c r="Q64" s="95"/>
      <c r="R64" s="95"/>
      <c r="S64" s="95"/>
    </row>
    <row r="65" spans="11:19" ht="15" customHeight="1" x14ac:dyDescent="0.3">
      <c r="K65" s="95"/>
      <c r="Q65" s="95"/>
      <c r="R65" s="95"/>
      <c r="S65" s="95"/>
    </row>
    <row r="66" spans="11:19" ht="15" customHeight="1" x14ac:dyDescent="0.3">
      <c r="K66" s="95"/>
      <c r="Q66" s="95"/>
      <c r="R66" s="95"/>
      <c r="S66" s="95"/>
    </row>
    <row r="67" spans="11:19" ht="15" customHeight="1" x14ac:dyDescent="0.3">
      <c r="K67" s="95"/>
      <c r="Q67" s="95"/>
      <c r="R67" s="95"/>
      <c r="S67" s="95"/>
    </row>
    <row r="68" spans="11:19" ht="15" customHeight="1" x14ac:dyDescent="0.3">
      <c r="K68" s="95"/>
      <c r="Q68" s="95"/>
      <c r="R68" s="95"/>
      <c r="S68" s="95"/>
    </row>
    <row r="69" spans="11:19" ht="15" customHeight="1" x14ac:dyDescent="0.3">
      <c r="K69" s="95"/>
      <c r="Q69" s="95"/>
      <c r="R69" s="95"/>
      <c r="S69" s="95"/>
    </row>
    <row r="70" spans="11:19" ht="15" customHeight="1" x14ac:dyDescent="0.3">
      <c r="K70" s="95"/>
      <c r="Q70" s="95"/>
      <c r="R70" s="95"/>
      <c r="S70" s="95"/>
    </row>
    <row r="71" spans="11:19" ht="15" customHeight="1" x14ac:dyDescent="0.3">
      <c r="K71" s="95"/>
      <c r="Q71" s="95"/>
      <c r="R71" s="95"/>
      <c r="S71" s="95"/>
    </row>
    <row r="72" spans="11:19" ht="15" customHeight="1" x14ac:dyDescent="0.3">
      <c r="K72" s="95"/>
      <c r="Q72" s="95"/>
      <c r="R72" s="95"/>
      <c r="S72" s="95"/>
    </row>
    <row r="73" spans="11:19" ht="15" customHeight="1" x14ac:dyDescent="0.3">
      <c r="K73" s="95"/>
      <c r="Q73" s="95"/>
      <c r="R73" s="95"/>
      <c r="S73" s="95"/>
    </row>
    <row r="74" spans="11:19" ht="15" customHeight="1" x14ac:dyDescent="0.3">
      <c r="K74" s="95"/>
      <c r="Q74" s="95"/>
      <c r="R74" s="95"/>
      <c r="S74" s="95"/>
    </row>
    <row r="75" spans="11:19" ht="15" customHeight="1" x14ac:dyDescent="0.3">
      <c r="K75" s="95"/>
      <c r="Q75" s="95"/>
      <c r="R75" s="95"/>
      <c r="S75" s="95"/>
    </row>
    <row r="76" spans="11:19" ht="15" customHeight="1" x14ac:dyDescent="0.3">
      <c r="K76" s="95"/>
      <c r="Q76" s="95"/>
      <c r="R76" s="95"/>
      <c r="S76" s="95"/>
    </row>
    <row r="77" spans="11:19" ht="15" customHeight="1" x14ac:dyDescent="0.3">
      <c r="K77" s="95"/>
      <c r="Q77" s="95"/>
      <c r="R77" s="95"/>
      <c r="S77" s="95"/>
    </row>
    <row r="78" spans="11:19" ht="15" customHeight="1" x14ac:dyDescent="0.3">
      <c r="K78" s="95"/>
      <c r="Q78" s="95"/>
      <c r="R78" s="95"/>
      <c r="S78" s="95"/>
    </row>
    <row r="79" spans="11:19" ht="15" customHeight="1" x14ac:dyDescent="0.3">
      <c r="K79" s="95"/>
      <c r="Q79" s="95"/>
      <c r="R79" s="95"/>
      <c r="S79" s="95"/>
    </row>
    <row r="80" spans="11:19" ht="15" customHeight="1" x14ac:dyDescent="0.3">
      <c r="K80" s="95"/>
      <c r="Q80" s="95"/>
      <c r="R80" s="95"/>
      <c r="S80" s="95"/>
    </row>
    <row r="81" spans="11:19" ht="15" customHeight="1" x14ac:dyDescent="0.3">
      <c r="K81" s="95"/>
      <c r="Q81" s="95"/>
      <c r="R81" s="95"/>
      <c r="S81" s="95"/>
    </row>
    <row r="82" spans="11:19" ht="15" customHeight="1" x14ac:dyDescent="0.3">
      <c r="K82" s="95"/>
      <c r="Q82" s="95"/>
      <c r="R82" s="95"/>
      <c r="S82" s="95"/>
    </row>
    <row r="83" spans="11:19" ht="15" customHeight="1" x14ac:dyDescent="0.3">
      <c r="K83" s="95"/>
      <c r="Q83" s="95"/>
      <c r="R83" s="95"/>
      <c r="S83" s="95"/>
    </row>
    <row r="84" spans="11:19" ht="15" customHeight="1" x14ac:dyDescent="0.3">
      <c r="K84" s="95"/>
      <c r="Q84" s="95"/>
      <c r="R84" s="95"/>
      <c r="S84" s="95"/>
    </row>
    <row r="85" spans="11:19" ht="15" customHeight="1" x14ac:dyDescent="0.3">
      <c r="K85" s="95"/>
      <c r="Q85" s="95"/>
      <c r="R85" s="95"/>
      <c r="S85" s="95"/>
    </row>
    <row r="86" spans="11:19" ht="15" customHeight="1" x14ac:dyDescent="0.3">
      <c r="K86" s="95"/>
      <c r="Q86" s="95"/>
      <c r="R86" s="95"/>
      <c r="S86" s="95"/>
    </row>
    <row r="87" spans="11:19" ht="15" customHeight="1" x14ac:dyDescent="0.3">
      <c r="K87" s="95"/>
      <c r="Q87" s="95"/>
      <c r="R87" s="95"/>
      <c r="S87" s="95"/>
    </row>
    <row r="88" spans="11:19" ht="15" customHeight="1" x14ac:dyDescent="0.3">
      <c r="K88" s="95"/>
      <c r="Q88" s="95"/>
      <c r="R88" s="95"/>
      <c r="S88" s="95"/>
    </row>
    <row r="89" spans="11:19" ht="15" customHeight="1" x14ac:dyDescent="0.3">
      <c r="K89" s="95"/>
      <c r="Q89" s="95"/>
      <c r="R89" s="95"/>
      <c r="S89" s="95"/>
    </row>
    <row r="90" spans="11:19" ht="15" customHeight="1" x14ac:dyDescent="0.3">
      <c r="K90" s="95"/>
      <c r="Q90" s="95"/>
      <c r="R90" s="95"/>
      <c r="S90" s="95"/>
    </row>
    <row r="91" spans="11:19" ht="15" customHeight="1" x14ac:dyDescent="0.3">
      <c r="K91" s="95"/>
      <c r="Q91" s="95"/>
      <c r="R91" s="95"/>
      <c r="S91" s="95"/>
    </row>
    <row r="92" spans="11:19" ht="15" customHeight="1" x14ac:dyDescent="0.3">
      <c r="K92" s="95"/>
      <c r="Q92" s="95"/>
      <c r="R92" s="95"/>
      <c r="S92" s="95"/>
    </row>
    <row r="93" spans="11:19" ht="15" customHeight="1" x14ac:dyDescent="0.3">
      <c r="K93" s="95"/>
      <c r="Q93" s="95"/>
      <c r="R93" s="95"/>
      <c r="S93" s="95"/>
    </row>
    <row r="94" spans="11:19" ht="15" customHeight="1" x14ac:dyDescent="0.3">
      <c r="K94" s="95"/>
      <c r="Q94" s="95"/>
      <c r="R94" s="95"/>
      <c r="S94" s="95"/>
    </row>
    <row r="95" spans="11:19" ht="15" customHeight="1" x14ac:dyDescent="0.3">
      <c r="K95" s="95"/>
      <c r="Q95" s="95"/>
      <c r="R95" s="95"/>
      <c r="S95" s="95"/>
    </row>
    <row r="96" spans="11:19" ht="15" customHeight="1" x14ac:dyDescent="0.3">
      <c r="K96" s="95"/>
      <c r="Q96" s="95"/>
      <c r="R96" s="95"/>
      <c r="S96" s="95"/>
    </row>
    <row r="97" spans="11:19" ht="15" customHeight="1" x14ac:dyDescent="0.3">
      <c r="K97" s="95"/>
      <c r="Q97" s="95"/>
      <c r="R97" s="95"/>
      <c r="S97" s="95"/>
    </row>
    <row r="98" spans="11:19" ht="15" customHeight="1" x14ac:dyDescent="0.3">
      <c r="K98" s="95"/>
      <c r="Q98" s="95"/>
      <c r="R98" s="95"/>
      <c r="S98" s="95"/>
    </row>
    <row r="99" spans="11:19" ht="15" customHeight="1" x14ac:dyDescent="0.3">
      <c r="K99" s="95"/>
      <c r="Q99" s="95"/>
      <c r="R99" s="95"/>
      <c r="S99" s="95"/>
    </row>
    <row r="100" spans="11:19" ht="15" customHeight="1" x14ac:dyDescent="0.3">
      <c r="K100" s="95"/>
      <c r="Q100" s="95"/>
      <c r="R100" s="95"/>
      <c r="S100" s="95"/>
    </row>
    <row r="101" spans="11:19" ht="15" customHeight="1" x14ac:dyDescent="0.3">
      <c r="K101" s="95"/>
      <c r="Q101" s="95"/>
      <c r="R101" s="95"/>
      <c r="S101" s="95"/>
    </row>
    <row r="102" spans="11:19" ht="15" customHeight="1" x14ac:dyDescent="0.3">
      <c r="K102" s="95"/>
      <c r="Q102" s="95"/>
      <c r="R102" s="95"/>
      <c r="S102" s="95"/>
    </row>
    <row r="103" spans="11:19" ht="15" customHeight="1" x14ac:dyDescent="0.3">
      <c r="K103" s="95"/>
      <c r="Q103" s="95"/>
      <c r="R103" s="95"/>
      <c r="S103" s="95"/>
    </row>
    <row r="104" spans="11:19" ht="15" customHeight="1" x14ac:dyDescent="0.3">
      <c r="K104" s="95"/>
      <c r="Q104" s="95"/>
      <c r="R104" s="95"/>
      <c r="S104" s="95"/>
    </row>
    <row r="105" spans="11:19" ht="15" customHeight="1" x14ac:dyDescent="0.3">
      <c r="K105" s="95"/>
      <c r="Q105" s="95"/>
      <c r="R105" s="95"/>
      <c r="S105" s="95"/>
    </row>
    <row r="106" spans="11:19" ht="15" customHeight="1" x14ac:dyDescent="0.3">
      <c r="K106" s="95"/>
      <c r="Q106" s="95"/>
      <c r="R106" s="95"/>
      <c r="S106" s="95"/>
    </row>
    <row r="107" spans="11:19" ht="15" customHeight="1" x14ac:dyDescent="0.3">
      <c r="K107" s="95"/>
      <c r="Q107" s="95"/>
      <c r="R107" s="95"/>
      <c r="S107" s="95"/>
    </row>
    <row r="108" spans="11:19" ht="15" customHeight="1" x14ac:dyDescent="0.3">
      <c r="K108" s="95"/>
      <c r="Q108" s="95"/>
      <c r="R108" s="95"/>
      <c r="S108" s="95"/>
    </row>
    <row r="109" spans="11:19" ht="15" customHeight="1" x14ac:dyDescent="0.3">
      <c r="K109" s="95"/>
      <c r="Q109" s="95"/>
      <c r="R109" s="95"/>
      <c r="S109" s="95"/>
    </row>
    <row r="110" spans="11:19" ht="15" customHeight="1" x14ac:dyDescent="0.3">
      <c r="K110" s="95"/>
      <c r="Q110" s="95"/>
      <c r="R110" s="95"/>
      <c r="S110" s="95"/>
    </row>
    <row r="111" spans="11:19" ht="15" customHeight="1" x14ac:dyDescent="0.3">
      <c r="K111" s="95"/>
      <c r="Q111" s="95"/>
      <c r="R111" s="95"/>
      <c r="S111" s="95"/>
    </row>
    <row r="112" spans="11:19" ht="15" customHeight="1" x14ac:dyDescent="0.3">
      <c r="K112" s="95"/>
      <c r="Q112" s="95"/>
      <c r="R112" s="95"/>
      <c r="S112" s="95"/>
    </row>
    <row r="113" spans="11:19" ht="15" customHeight="1" x14ac:dyDescent="0.3">
      <c r="K113" s="95"/>
      <c r="Q113" s="95"/>
      <c r="R113" s="95"/>
      <c r="S113" s="95"/>
    </row>
    <row r="114" spans="11:19" ht="15" customHeight="1" x14ac:dyDescent="0.3">
      <c r="K114" s="95"/>
      <c r="Q114" s="95"/>
      <c r="R114" s="95"/>
      <c r="S114" s="95"/>
    </row>
    <row r="115" spans="11:19" ht="15" customHeight="1" x14ac:dyDescent="0.3">
      <c r="K115" s="95"/>
      <c r="Q115" s="95"/>
      <c r="R115" s="95"/>
      <c r="S115" s="95"/>
    </row>
    <row r="116" spans="11:19" ht="15" customHeight="1" x14ac:dyDescent="0.3">
      <c r="K116" s="95"/>
      <c r="Q116" s="95"/>
      <c r="R116" s="95"/>
      <c r="S116" s="95"/>
    </row>
    <row r="117" spans="11:19" ht="15" customHeight="1" x14ac:dyDescent="0.3">
      <c r="K117" s="95"/>
      <c r="Q117" s="95"/>
      <c r="R117" s="95"/>
      <c r="S117" s="95"/>
    </row>
    <row r="118" spans="11:19" ht="15" customHeight="1" x14ac:dyDescent="0.3">
      <c r="K118" s="95"/>
      <c r="Q118" s="95"/>
      <c r="R118" s="95"/>
      <c r="S118" s="95"/>
    </row>
    <row r="119" spans="11:19" ht="15" customHeight="1" x14ac:dyDescent="0.3">
      <c r="K119" s="95"/>
      <c r="Q119" s="95"/>
      <c r="R119" s="95"/>
      <c r="S119" s="95"/>
    </row>
    <row r="120" spans="11:19" ht="15" customHeight="1" x14ac:dyDescent="0.3">
      <c r="K120" s="95"/>
      <c r="Q120" s="95"/>
      <c r="R120" s="95"/>
      <c r="S120" s="95"/>
    </row>
    <row r="121" spans="11:19" ht="15" customHeight="1" x14ac:dyDescent="0.3">
      <c r="K121" s="95"/>
      <c r="Q121" s="95"/>
      <c r="R121" s="95"/>
      <c r="S121" s="95"/>
    </row>
    <row r="122" spans="11:19" ht="15" customHeight="1" x14ac:dyDescent="0.3">
      <c r="K122" s="95"/>
      <c r="Q122" s="95"/>
      <c r="R122" s="95"/>
      <c r="S122" s="95"/>
    </row>
    <row r="123" spans="11:19" ht="15" customHeight="1" x14ac:dyDescent="0.3">
      <c r="K123" s="95"/>
      <c r="Q123" s="95"/>
      <c r="R123" s="95"/>
      <c r="S123" s="95"/>
    </row>
    <row r="124" spans="11:19" ht="15" customHeight="1" x14ac:dyDescent="0.3">
      <c r="K124" s="95"/>
      <c r="Q124" s="95"/>
      <c r="R124" s="95"/>
      <c r="S124" s="95"/>
    </row>
    <row r="125" spans="11:19" ht="15" customHeight="1" x14ac:dyDescent="0.3">
      <c r="K125" s="95"/>
      <c r="Q125" s="95"/>
      <c r="R125" s="95"/>
      <c r="S125" s="95"/>
    </row>
    <row r="126" spans="11:19" ht="15" customHeight="1" x14ac:dyDescent="0.3">
      <c r="K126" s="95"/>
      <c r="Q126" s="95"/>
      <c r="R126" s="95"/>
      <c r="S126" s="95"/>
    </row>
    <row r="127" spans="11:19" ht="15" customHeight="1" x14ac:dyDescent="0.3">
      <c r="K127" s="95"/>
      <c r="Q127" s="95"/>
      <c r="R127" s="95"/>
      <c r="S127" s="95"/>
    </row>
    <row r="128" spans="11:19" ht="15" customHeight="1" x14ac:dyDescent="0.3">
      <c r="K128" s="95"/>
      <c r="Q128" s="95"/>
      <c r="R128" s="95"/>
      <c r="S128" s="95"/>
    </row>
    <row r="129" spans="11:19" ht="15" customHeight="1" x14ac:dyDescent="0.3">
      <c r="K129" s="95"/>
      <c r="Q129" s="95"/>
      <c r="R129" s="95"/>
      <c r="S129" s="95"/>
    </row>
    <row r="130" spans="11:19" ht="15" customHeight="1" x14ac:dyDescent="0.3">
      <c r="K130" s="95"/>
      <c r="Q130" s="95"/>
      <c r="R130" s="95"/>
      <c r="S130" s="95"/>
    </row>
    <row r="131" spans="11:19" ht="15" customHeight="1" x14ac:dyDescent="0.3">
      <c r="K131" s="95"/>
      <c r="Q131" s="95"/>
      <c r="R131" s="95"/>
      <c r="S131" s="95"/>
    </row>
    <row r="132" spans="11:19" ht="15" customHeight="1" x14ac:dyDescent="0.3">
      <c r="K132" s="95"/>
      <c r="Q132" s="95"/>
      <c r="R132" s="95"/>
      <c r="S132" s="95"/>
    </row>
    <row r="133" spans="11:19" ht="15" customHeight="1" x14ac:dyDescent="0.3">
      <c r="K133" s="95"/>
      <c r="Q133" s="95"/>
      <c r="R133" s="95"/>
      <c r="S133" s="95"/>
    </row>
    <row r="134" spans="11:19" ht="15" customHeight="1" x14ac:dyDescent="0.3">
      <c r="K134" s="95"/>
      <c r="Q134" s="95"/>
      <c r="R134" s="95"/>
      <c r="S134" s="95"/>
    </row>
    <row r="135" spans="11:19" ht="15" customHeight="1" x14ac:dyDescent="0.3">
      <c r="K135" s="95"/>
      <c r="Q135" s="95"/>
      <c r="R135" s="95"/>
      <c r="S135" s="95"/>
    </row>
    <row r="136" spans="11:19" ht="15" customHeight="1" x14ac:dyDescent="0.3">
      <c r="K136" s="95"/>
      <c r="Q136" s="95"/>
      <c r="R136" s="95"/>
      <c r="S136" s="95"/>
    </row>
    <row r="137" spans="11:19" ht="15" customHeight="1" x14ac:dyDescent="0.3">
      <c r="K137" s="95"/>
      <c r="Q137" s="95"/>
      <c r="R137" s="95"/>
      <c r="S137" s="95"/>
    </row>
    <row r="138" spans="11:19" ht="15" customHeight="1" x14ac:dyDescent="0.3">
      <c r="K138" s="95"/>
      <c r="Q138" s="95"/>
      <c r="R138" s="95"/>
      <c r="S138" s="95"/>
    </row>
    <row r="139" spans="11:19" ht="15" customHeight="1" x14ac:dyDescent="0.3">
      <c r="K139" s="95"/>
      <c r="Q139" s="95"/>
      <c r="R139" s="95"/>
      <c r="S139" s="95"/>
    </row>
    <row r="140" spans="11:19" ht="15" customHeight="1" x14ac:dyDescent="0.3">
      <c r="K140" s="95"/>
      <c r="Q140" s="95"/>
      <c r="R140" s="95"/>
      <c r="S140" s="95"/>
    </row>
    <row r="141" spans="11:19" ht="15" customHeight="1" x14ac:dyDescent="0.3">
      <c r="K141" s="95"/>
      <c r="Q141" s="95"/>
      <c r="R141" s="95"/>
      <c r="S141" s="95"/>
    </row>
    <row r="142" spans="11:19" ht="15" customHeight="1" x14ac:dyDescent="0.3">
      <c r="K142" s="95"/>
      <c r="Q142" s="95"/>
      <c r="R142" s="95"/>
      <c r="S142" s="95"/>
    </row>
    <row r="143" spans="11:19" ht="15" customHeight="1" x14ac:dyDescent="0.3">
      <c r="K143" s="95"/>
      <c r="Q143" s="95"/>
      <c r="R143" s="95"/>
      <c r="S143" s="95"/>
    </row>
    <row r="144" spans="11:19" ht="15" customHeight="1" x14ac:dyDescent="0.3">
      <c r="K144" s="95"/>
      <c r="Q144" s="95"/>
      <c r="R144" s="95"/>
      <c r="S144" s="95"/>
    </row>
    <row r="145" spans="11:19" ht="15" customHeight="1" x14ac:dyDescent="0.3">
      <c r="K145" s="95"/>
      <c r="Q145" s="95"/>
      <c r="R145" s="95"/>
      <c r="S145" s="95"/>
    </row>
    <row r="146" spans="11:19" ht="15" customHeight="1" x14ac:dyDescent="0.3">
      <c r="K146" s="95"/>
      <c r="Q146" s="95"/>
      <c r="R146" s="95"/>
      <c r="S146" s="95"/>
    </row>
    <row r="147" spans="11:19" ht="15" customHeight="1" x14ac:dyDescent="0.3">
      <c r="K147" s="95"/>
      <c r="Q147" s="95"/>
      <c r="R147" s="95"/>
      <c r="S147" s="95"/>
    </row>
    <row r="148" spans="11:19" ht="15" customHeight="1" x14ac:dyDescent="0.3">
      <c r="K148" s="95"/>
      <c r="Q148" s="95"/>
      <c r="R148" s="95"/>
      <c r="S148" s="95"/>
    </row>
    <row r="149" spans="11:19" ht="15" customHeight="1" x14ac:dyDescent="0.3">
      <c r="K149" s="95"/>
      <c r="Q149" s="95"/>
      <c r="R149" s="95"/>
      <c r="S149" s="95"/>
    </row>
    <row r="150" spans="11:19" ht="15" customHeight="1" x14ac:dyDescent="0.3">
      <c r="K150" s="95"/>
      <c r="Q150" s="95"/>
      <c r="R150" s="95"/>
      <c r="S150" s="95"/>
    </row>
    <row r="151" spans="11:19" ht="15" customHeight="1" x14ac:dyDescent="0.3">
      <c r="K151" s="95"/>
      <c r="Q151" s="95"/>
      <c r="R151" s="95"/>
      <c r="S151" s="95"/>
    </row>
    <row r="152" spans="11:19" ht="15" customHeight="1" x14ac:dyDescent="0.3">
      <c r="K152" s="95"/>
      <c r="Q152" s="95"/>
      <c r="R152" s="95"/>
      <c r="S152" s="95"/>
    </row>
    <row r="153" spans="11:19" ht="15" customHeight="1" x14ac:dyDescent="0.3">
      <c r="K153" s="95"/>
      <c r="Q153" s="95"/>
      <c r="R153" s="95"/>
      <c r="S153" s="95"/>
    </row>
    <row r="154" spans="11:19" ht="15" customHeight="1" x14ac:dyDescent="0.3">
      <c r="K154" s="95"/>
      <c r="Q154" s="95"/>
      <c r="R154" s="95"/>
      <c r="S154" s="95"/>
    </row>
    <row r="155" spans="11:19" ht="15" customHeight="1" x14ac:dyDescent="0.3">
      <c r="K155" s="95"/>
      <c r="Q155" s="95"/>
      <c r="R155" s="95"/>
      <c r="S155" s="95"/>
    </row>
    <row r="156" spans="11:19" ht="15" customHeight="1" x14ac:dyDescent="0.3">
      <c r="K156" s="95"/>
      <c r="Q156" s="95"/>
      <c r="R156" s="95"/>
      <c r="S156" s="95"/>
    </row>
    <row r="157" spans="11:19" ht="15" customHeight="1" x14ac:dyDescent="0.3">
      <c r="K157" s="95"/>
      <c r="Q157" s="95"/>
      <c r="R157" s="95"/>
      <c r="S157" s="95"/>
    </row>
    <row r="158" spans="11:19" ht="15" customHeight="1" x14ac:dyDescent="0.3">
      <c r="K158" s="95"/>
    </row>
    <row r="159" spans="11:19" ht="15" customHeight="1" x14ac:dyDescent="0.3">
      <c r="K159" s="95"/>
    </row>
    <row r="160" spans="11:19" ht="15" customHeight="1" x14ac:dyDescent="0.3">
      <c r="K160" s="95"/>
    </row>
    <row r="161" spans="11:11" ht="15" customHeight="1" x14ac:dyDescent="0.3">
      <c r="K161" s="95"/>
    </row>
    <row r="162" spans="11:11" ht="15" customHeight="1" x14ac:dyDescent="0.3">
      <c r="K162" s="95"/>
    </row>
    <row r="163" spans="11:11" ht="15" customHeight="1" x14ac:dyDescent="0.3">
      <c r="K163" s="95"/>
    </row>
    <row r="164" spans="11:11" ht="15" customHeight="1" x14ac:dyDescent="0.3">
      <c r="K164" s="95"/>
    </row>
    <row r="165" spans="11:11" ht="15" customHeight="1" x14ac:dyDescent="0.3">
      <c r="K165" s="95"/>
    </row>
    <row r="166" spans="11:11" ht="15" customHeight="1" x14ac:dyDescent="0.3">
      <c r="K166" s="95"/>
    </row>
    <row r="167" spans="11:11" ht="15" customHeight="1" x14ac:dyDescent="0.3">
      <c r="K167" s="95"/>
    </row>
    <row r="168" spans="11:11" ht="15" customHeight="1" x14ac:dyDescent="0.3">
      <c r="K168" s="95"/>
    </row>
    <row r="169" spans="11:11" ht="15" customHeight="1" x14ac:dyDescent="0.3">
      <c r="K169" s="95"/>
    </row>
    <row r="170" spans="11:11" ht="15" customHeight="1" x14ac:dyDescent="0.3">
      <c r="K170" s="95"/>
    </row>
    <row r="171" spans="11:11" ht="15" customHeight="1" x14ac:dyDescent="0.3">
      <c r="K171" s="95"/>
    </row>
    <row r="172" spans="11:11" ht="15" customHeight="1" x14ac:dyDescent="0.3">
      <c r="K172" s="95"/>
    </row>
    <row r="173" spans="11:11" ht="15" customHeight="1" x14ac:dyDescent="0.3">
      <c r="K173" s="95"/>
    </row>
    <row r="174" spans="11:11" ht="15" customHeight="1" x14ac:dyDescent="0.3">
      <c r="K174" s="95"/>
    </row>
    <row r="175" spans="11:11" ht="15" customHeight="1" x14ac:dyDescent="0.3">
      <c r="K175" s="95"/>
    </row>
    <row r="176" spans="11:11" ht="15" customHeight="1" x14ac:dyDescent="0.3">
      <c r="K176" s="95"/>
    </row>
    <row r="177" spans="11:11" ht="15" customHeight="1" x14ac:dyDescent="0.3">
      <c r="K177" s="95"/>
    </row>
    <row r="178" spans="11:11" ht="15" customHeight="1" x14ac:dyDescent="0.3">
      <c r="K178" s="95"/>
    </row>
    <row r="179" spans="11:11" ht="15" customHeight="1" x14ac:dyDescent="0.3">
      <c r="K179" s="95"/>
    </row>
    <row r="180" spans="11:11" ht="15" customHeight="1" x14ac:dyDescent="0.3">
      <c r="K180" s="95"/>
    </row>
    <row r="181" spans="11:11" ht="15" customHeight="1" x14ac:dyDescent="0.3">
      <c r="K181" s="95"/>
    </row>
    <row r="182" spans="11:11" ht="15" customHeight="1" x14ac:dyDescent="0.3">
      <c r="K182" s="95"/>
    </row>
    <row r="183" spans="11:11" ht="15" customHeight="1" x14ac:dyDescent="0.3">
      <c r="K183" s="95"/>
    </row>
    <row r="184" spans="11:11" ht="15" customHeight="1" x14ac:dyDescent="0.3">
      <c r="K184" s="95"/>
    </row>
    <row r="185" spans="11:11" ht="15" customHeight="1" x14ac:dyDescent="0.3">
      <c r="K185" s="95"/>
    </row>
    <row r="186" spans="11:11" ht="15" customHeight="1" x14ac:dyDescent="0.3">
      <c r="K186" s="95"/>
    </row>
    <row r="187" spans="11:11" ht="15" customHeight="1" x14ac:dyDescent="0.3">
      <c r="K187" s="95"/>
    </row>
    <row r="188" spans="11:11" ht="15" customHeight="1" x14ac:dyDescent="0.3">
      <c r="K188" s="95"/>
    </row>
    <row r="189" spans="11:11" ht="15" customHeight="1" x14ac:dyDescent="0.3">
      <c r="K189" s="95"/>
    </row>
    <row r="190" spans="11:11" ht="15" customHeight="1" x14ac:dyDescent="0.3">
      <c r="K190" s="95"/>
    </row>
    <row r="191" spans="11:11" ht="15" customHeight="1" x14ac:dyDescent="0.3">
      <c r="K191" s="95"/>
    </row>
    <row r="192" spans="11:11" ht="15" customHeight="1" x14ac:dyDescent="0.3">
      <c r="K192" s="95"/>
    </row>
    <row r="193" spans="11:11" ht="15" customHeight="1" x14ac:dyDescent="0.3">
      <c r="K193" s="95"/>
    </row>
    <row r="194" spans="11:11" ht="15" customHeight="1" x14ac:dyDescent="0.3">
      <c r="K194" s="95"/>
    </row>
    <row r="195" spans="11:11" ht="15" customHeight="1" x14ac:dyDescent="0.3">
      <c r="K195" s="95"/>
    </row>
    <row r="196" spans="11:11" ht="15" customHeight="1" x14ac:dyDescent="0.3">
      <c r="K196" s="95"/>
    </row>
    <row r="197" spans="11:11" ht="15" customHeight="1" x14ac:dyDescent="0.3">
      <c r="K197" s="95"/>
    </row>
    <row r="198" spans="11:11" ht="15" customHeight="1" x14ac:dyDescent="0.3">
      <c r="K198" s="95"/>
    </row>
    <row r="199" spans="11:11" ht="15" customHeight="1" x14ac:dyDescent="0.3">
      <c r="K199" s="95"/>
    </row>
    <row r="200" spans="11:11" ht="15" customHeight="1" x14ac:dyDescent="0.3">
      <c r="K200" s="95"/>
    </row>
    <row r="201" spans="11:11" ht="15" customHeight="1" x14ac:dyDescent="0.3">
      <c r="K201" s="95"/>
    </row>
    <row r="202" spans="11:11" ht="15" customHeight="1" x14ac:dyDescent="0.3">
      <c r="K202" s="95"/>
    </row>
    <row r="203" spans="11:11" ht="15" customHeight="1" x14ac:dyDescent="0.3">
      <c r="K203" s="95"/>
    </row>
    <row r="204" spans="11:11" ht="15" customHeight="1" x14ac:dyDescent="0.3">
      <c r="K204" s="95"/>
    </row>
    <row r="205" spans="11:11" ht="15" customHeight="1" x14ac:dyDescent="0.3">
      <c r="K205" s="95"/>
    </row>
    <row r="206" spans="11:11" ht="15" customHeight="1" x14ac:dyDescent="0.3">
      <c r="K206" s="95"/>
    </row>
    <row r="207" spans="11:11" ht="15" customHeight="1" x14ac:dyDescent="0.3">
      <c r="K207" s="95"/>
    </row>
    <row r="208" spans="11:11" ht="15" customHeight="1" x14ac:dyDescent="0.3">
      <c r="K208" s="95"/>
    </row>
    <row r="209" spans="11:11" ht="15" customHeight="1" x14ac:dyDescent="0.3">
      <c r="K209" s="95"/>
    </row>
    <row r="210" spans="11:11" ht="15" customHeight="1" x14ac:dyDescent="0.3">
      <c r="K210" s="95"/>
    </row>
    <row r="211" spans="11:11" ht="15" customHeight="1" x14ac:dyDescent="0.3">
      <c r="K211" s="95"/>
    </row>
    <row r="212" spans="11:11" ht="15" customHeight="1" x14ac:dyDescent="0.3">
      <c r="K212" s="95"/>
    </row>
    <row r="213" spans="11:11" ht="15" customHeight="1" x14ac:dyDescent="0.3">
      <c r="K213" s="95"/>
    </row>
    <row r="214" spans="11:11" ht="15" customHeight="1" x14ac:dyDescent="0.3">
      <c r="K214" s="95"/>
    </row>
    <row r="215" spans="11:11" ht="15" customHeight="1" x14ac:dyDescent="0.3">
      <c r="K215" s="95"/>
    </row>
    <row r="216" spans="11:11" ht="15" customHeight="1" x14ac:dyDescent="0.3">
      <c r="K216" s="95"/>
    </row>
    <row r="217" spans="11:11" ht="15" customHeight="1" x14ac:dyDescent="0.3">
      <c r="K217" s="95"/>
    </row>
    <row r="218" spans="11:11" ht="15" customHeight="1" x14ac:dyDescent="0.3">
      <c r="K218" s="95"/>
    </row>
    <row r="219" spans="11:11" ht="15" customHeight="1" x14ac:dyDescent="0.3">
      <c r="K219" s="95"/>
    </row>
    <row r="220" spans="11:11" ht="15" customHeight="1" x14ac:dyDescent="0.3">
      <c r="K220" s="95"/>
    </row>
    <row r="221" spans="11:11" ht="15" customHeight="1" x14ac:dyDescent="0.3">
      <c r="K221" s="95"/>
    </row>
    <row r="222" spans="11:11" ht="15" customHeight="1" x14ac:dyDescent="0.3">
      <c r="K222" s="95"/>
    </row>
    <row r="223" spans="11:11" ht="15" customHeight="1" x14ac:dyDescent="0.3">
      <c r="K223" s="95"/>
    </row>
    <row r="224" spans="11:11" ht="15" customHeight="1" x14ac:dyDescent="0.3">
      <c r="K224" s="95"/>
    </row>
    <row r="225" spans="11:11" ht="15" customHeight="1" x14ac:dyDescent="0.3">
      <c r="K225" s="95"/>
    </row>
    <row r="226" spans="11:11" ht="15" customHeight="1" x14ac:dyDescent="0.3">
      <c r="K226" s="95"/>
    </row>
    <row r="227" spans="11:11" ht="15" customHeight="1" x14ac:dyDescent="0.3">
      <c r="K227" s="95"/>
    </row>
    <row r="228" spans="11:11" ht="15" customHeight="1" x14ac:dyDescent="0.3">
      <c r="K228" s="95"/>
    </row>
    <row r="229" spans="11:11" ht="15" customHeight="1" x14ac:dyDescent="0.3">
      <c r="K229" s="95"/>
    </row>
    <row r="230" spans="11:11" ht="15" customHeight="1" x14ac:dyDescent="0.3">
      <c r="K230" s="95"/>
    </row>
    <row r="231" spans="11:11" ht="15" customHeight="1" x14ac:dyDescent="0.3">
      <c r="K231" s="95"/>
    </row>
    <row r="232" spans="11:11" ht="15" customHeight="1" x14ac:dyDescent="0.3">
      <c r="K232" s="95"/>
    </row>
    <row r="233" spans="11:11" ht="15" customHeight="1" x14ac:dyDescent="0.3">
      <c r="K233" s="95"/>
    </row>
    <row r="234" spans="11:11" ht="15" customHeight="1" x14ac:dyDescent="0.3">
      <c r="K234" s="95"/>
    </row>
    <row r="235" spans="11:11" ht="15" customHeight="1" x14ac:dyDescent="0.3">
      <c r="K235" s="95"/>
    </row>
    <row r="236" spans="11:11" ht="15" customHeight="1" x14ac:dyDescent="0.3">
      <c r="K236" s="95"/>
    </row>
    <row r="237" spans="11:11" ht="15" customHeight="1" x14ac:dyDescent="0.3">
      <c r="K237" s="95"/>
    </row>
    <row r="238" spans="11:11" ht="15" customHeight="1" x14ac:dyDescent="0.3">
      <c r="K238" s="95"/>
    </row>
    <row r="239" spans="11:11" ht="15" customHeight="1" x14ac:dyDescent="0.3">
      <c r="K239" s="95"/>
    </row>
    <row r="240" spans="11:11" ht="15" customHeight="1" x14ac:dyDescent="0.3">
      <c r="K240" s="95"/>
    </row>
    <row r="241" spans="11:11" ht="15" customHeight="1" x14ac:dyDescent="0.3">
      <c r="K241" s="95"/>
    </row>
    <row r="242" spans="11:11" ht="15" customHeight="1" x14ac:dyDescent="0.3">
      <c r="K242" s="95"/>
    </row>
    <row r="243" spans="11:11" ht="15" customHeight="1" x14ac:dyDescent="0.3">
      <c r="K243" s="95"/>
    </row>
    <row r="244" spans="11:11" ht="15" customHeight="1" x14ac:dyDescent="0.3">
      <c r="K244" s="95"/>
    </row>
    <row r="245" spans="11:11" ht="15" customHeight="1" x14ac:dyDescent="0.3">
      <c r="K245" s="95"/>
    </row>
    <row r="246" spans="11:11" ht="15" customHeight="1" x14ac:dyDescent="0.3">
      <c r="K246" s="95"/>
    </row>
    <row r="247" spans="11:11" ht="15" customHeight="1" x14ac:dyDescent="0.3">
      <c r="K247" s="95"/>
    </row>
    <row r="248" spans="11:11" ht="15" customHeight="1" x14ac:dyDescent="0.3">
      <c r="K248" s="95"/>
    </row>
    <row r="249" spans="11:11" ht="15" customHeight="1" x14ac:dyDescent="0.3">
      <c r="K249" s="95"/>
    </row>
    <row r="250" spans="11:11" ht="15" customHeight="1" x14ac:dyDescent="0.3">
      <c r="K250" s="95"/>
    </row>
    <row r="251" spans="11:11" ht="15" customHeight="1" x14ac:dyDescent="0.3">
      <c r="K251" s="95"/>
    </row>
    <row r="252" spans="11:11" ht="15" customHeight="1" x14ac:dyDescent="0.3">
      <c r="K252" s="95"/>
    </row>
    <row r="253" spans="11:11" ht="15" customHeight="1" x14ac:dyDescent="0.3">
      <c r="K253" s="95"/>
    </row>
    <row r="254" spans="11:11" ht="15" customHeight="1" x14ac:dyDescent="0.3">
      <c r="K254" s="95"/>
    </row>
    <row r="255" spans="11:11" ht="15" customHeight="1" x14ac:dyDescent="0.3">
      <c r="K255" s="95"/>
    </row>
    <row r="256" spans="11:11" ht="15" customHeight="1" x14ac:dyDescent="0.3">
      <c r="K256" s="95"/>
    </row>
    <row r="257" spans="11:11" ht="15" customHeight="1" x14ac:dyDescent="0.3">
      <c r="K257" s="95"/>
    </row>
    <row r="258" spans="11:11" ht="15" customHeight="1" x14ac:dyDescent="0.3">
      <c r="K258" s="95"/>
    </row>
    <row r="259" spans="11:11" ht="15" customHeight="1" x14ac:dyDescent="0.3">
      <c r="K259" s="95"/>
    </row>
    <row r="260" spans="11:11" ht="15" customHeight="1" x14ac:dyDescent="0.3">
      <c r="K260" s="95"/>
    </row>
    <row r="261" spans="11:11" ht="15" customHeight="1" x14ac:dyDescent="0.3">
      <c r="K261" s="95"/>
    </row>
    <row r="262" spans="11:11" ht="15" customHeight="1" x14ac:dyDescent="0.3">
      <c r="K262" s="95"/>
    </row>
    <row r="263" spans="11:11" ht="15" customHeight="1" x14ac:dyDescent="0.3">
      <c r="K263" s="95"/>
    </row>
    <row r="264" spans="11:11" ht="15" customHeight="1" x14ac:dyDescent="0.3">
      <c r="K264" s="95"/>
    </row>
    <row r="265" spans="11:11" ht="15" customHeight="1" x14ac:dyDescent="0.3">
      <c r="K265" s="95"/>
    </row>
    <row r="266" spans="11:11" ht="15" customHeight="1" x14ac:dyDescent="0.3">
      <c r="K266" s="95"/>
    </row>
    <row r="267" spans="11:11" ht="15" customHeight="1" x14ac:dyDescent="0.3">
      <c r="K267" s="95"/>
    </row>
    <row r="268" spans="11:11" ht="15" customHeight="1" x14ac:dyDescent="0.3">
      <c r="K268" s="95"/>
    </row>
    <row r="269" spans="11:11" ht="15" customHeight="1" x14ac:dyDescent="0.3">
      <c r="K269" s="95"/>
    </row>
    <row r="270" spans="11:11" ht="15" customHeight="1" x14ac:dyDescent="0.3">
      <c r="K270" s="95"/>
    </row>
    <row r="271" spans="11:11" ht="15" customHeight="1" x14ac:dyDescent="0.3">
      <c r="K271" s="95"/>
    </row>
    <row r="272" spans="11:11" ht="15" customHeight="1" x14ac:dyDescent="0.3">
      <c r="K272" s="95"/>
    </row>
    <row r="273" spans="11:11" ht="15" customHeight="1" x14ac:dyDescent="0.3">
      <c r="K273" s="95"/>
    </row>
    <row r="274" spans="11:11" ht="15" customHeight="1" x14ac:dyDescent="0.3">
      <c r="K274" s="95"/>
    </row>
    <row r="275" spans="11:11" ht="15" customHeight="1" x14ac:dyDescent="0.3">
      <c r="K275" s="95"/>
    </row>
    <row r="276" spans="11:11" ht="15" customHeight="1" x14ac:dyDescent="0.3">
      <c r="K276" s="95"/>
    </row>
    <row r="277" spans="11:11" ht="15" customHeight="1" x14ac:dyDescent="0.3">
      <c r="K277" s="95"/>
    </row>
    <row r="278" spans="11:11" ht="15" customHeight="1" x14ac:dyDescent="0.3">
      <c r="K278" s="95"/>
    </row>
    <row r="279" spans="11:11" ht="15" customHeight="1" x14ac:dyDescent="0.3">
      <c r="K279" s="95"/>
    </row>
    <row r="280" spans="11:11" ht="15" customHeight="1" x14ac:dyDescent="0.3">
      <c r="K280" s="95"/>
    </row>
    <row r="281" spans="11:11" ht="15" customHeight="1" x14ac:dyDescent="0.3">
      <c r="K281" s="95"/>
    </row>
    <row r="282" spans="11:11" ht="15" customHeight="1" x14ac:dyDescent="0.3">
      <c r="K282" s="95"/>
    </row>
  </sheetData>
  <mergeCells count="5">
    <mergeCell ref="Q39:S39"/>
    <mergeCell ref="E43:G44"/>
    <mergeCell ref="E45:G48"/>
    <mergeCell ref="J40:K40"/>
    <mergeCell ref="J41:K41"/>
  </mergeCells>
  <pageMargins left="0.75" right="0.75" top="1" bottom="1" header="0.5" footer="0.5"/>
  <pageSetup scale="14" orientation="portrait" horizontalDpi="4294967292" verticalDpi="4294967292" r:id="rId1"/>
  <headerFooter>
    <oddFooter>&amp;L&amp;"Helvetica,Regular"&amp;12&amp;K000000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60C07-C07D-41DB-82C9-321C67989A0C}">
  <sheetPr>
    <tabColor rgb="FFFF0000"/>
    <pageSetUpPr fitToPage="1"/>
  </sheetPr>
  <dimension ref="A1:IQ72"/>
  <sheetViews>
    <sheetView showGridLines="0" zoomScale="85" zoomScaleNormal="85" workbookViewId="0">
      <pane xSplit="2" ySplit="2" topLeftCell="C3" activePane="bottomRight" state="frozen"/>
      <selection activeCell="L2" sqref="L2"/>
      <selection pane="topRight" activeCell="L2" sqref="L2"/>
      <selection pane="bottomLeft" activeCell="L2" sqref="L2"/>
      <selection pane="bottomRight"/>
    </sheetView>
  </sheetViews>
  <sheetFormatPr defaultColWidth="26.6640625" defaultRowHeight="15" customHeight="1" x14ac:dyDescent="0.3"/>
  <cols>
    <col min="1" max="1" width="3.19921875" style="58" bestFit="1" customWidth="1"/>
    <col min="2" max="2" width="9.06640625" style="58" bestFit="1" customWidth="1"/>
    <col min="3" max="3" width="7.06640625" style="58" bestFit="1" customWidth="1"/>
    <col min="4" max="4" width="10.59765625" style="58" bestFit="1" customWidth="1"/>
    <col min="5" max="5" width="11.6640625" style="58" bestFit="1" customWidth="1"/>
    <col min="6" max="6" width="13.59765625" style="58" customWidth="1"/>
    <col min="7" max="7" width="20.33203125" style="58" customWidth="1"/>
    <col min="8" max="9" width="15" style="58" hidden="1" customWidth="1"/>
    <col min="10" max="10" width="12" style="90" bestFit="1" customWidth="1"/>
    <col min="11" max="11" width="16.06640625" style="58" customWidth="1"/>
    <col min="12" max="12" width="12" style="58" customWidth="1"/>
    <col min="13" max="13" width="13.06640625" style="58" customWidth="1"/>
    <col min="14" max="15" width="13.6640625" style="58" customWidth="1"/>
    <col min="16" max="16" width="13.19921875" style="58" customWidth="1"/>
    <col min="17" max="17" width="17.3984375" style="58" customWidth="1"/>
    <col min="18" max="18" width="10.46484375" style="58" customWidth="1"/>
    <col min="19" max="251" width="26.6640625" style="58" customWidth="1"/>
    <col min="252" max="16384" width="26.6640625" style="91"/>
  </cols>
  <sheetData>
    <row r="1" spans="1:18" ht="15.75" customHeight="1" thickBot="1" x14ac:dyDescent="0.4">
      <c r="A1" s="53" t="s">
        <v>3</v>
      </c>
      <c r="B1" s="53" t="s">
        <v>4</v>
      </c>
      <c r="C1" s="53" t="s">
        <v>5</v>
      </c>
      <c r="D1" s="53" t="s">
        <v>6</v>
      </c>
      <c r="E1" s="53" t="s">
        <v>7</v>
      </c>
      <c r="F1" s="53" t="s">
        <v>8</v>
      </c>
      <c r="G1" s="53" t="s">
        <v>35</v>
      </c>
      <c r="H1" s="100" t="s">
        <v>36</v>
      </c>
      <c r="I1" s="55" t="s">
        <v>37</v>
      </c>
      <c r="J1" s="53" t="s">
        <v>38</v>
      </c>
      <c r="K1" s="53" t="s">
        <v>39</v>
      </c>
      <c r="L1" s="53" t="s">
        <v>40</v>
      </c>
      <c r="M1" s="53" t="s">
        <v>41</v>
      </c>
      <c r="N1" s="53" t="s">
        <v>42</v>
      </c>
      <c r="O1" s="53" t="s">
        <v>43</v>
      </c>
      <c r="P1" s="53" t="s">
        <v>44</v>
      </c>
      <c r="Q1" s="53" t="s">
        <v>45</v>
      </c>
      <c r="R1" s="53" t="s">
        <v>46</v>
      </c>
    </row>
    <row r="2" spans="1:18" ht="145" x14ac:dyDescent="0.35">
      <c r="A2" s="59" t="s">
        <v>0</v>
      </c>
      <c r="B2" s="182" t="s">
        <v>124</v>
      </c>
      <c r="C2" s="183" t="s">
        <v>122</v>
      </c>
      <c r="D2" s="183" t="s">
        <v>52</v>
      </c>
      <c r="E2" s="183" t="s">
        <v>123</v>
      </c>
      <c r="F2" s="183" t="s">
        <v>155</v>
      </c>
      <c r="G2" s="184" t="s">
        <v>53</v>
      </c>
      <c r="H2" s="183" t="s">
        <v>54</v>
      </c>
      <c r="I2" s="183" t="s">
        <v>55</v>
      </c>
      <c r="J2" s="185" t="str">
        <f>'Rail Impact-Baseline (Inbound)'!J2</f>
        <v xml:space="preserve"> Gallons of Fuel Needed (MEDOT Average Fuel Consumption per Carload = 9 Gallons)</v>
      </c>
      <c r="K2" s="183" t="str">
        <f>'Truck Elimination (Inbound)'!O2</f>
        <v>Price/Gallon of Diesel Fuel (U.S. Energy Information Administration Annual Energy November 2022 Actuals, Held Constant to be Conservative)</v>
      </c>
      <c r="L2" s="186" t="s">
        <v>56</v>
      </c>
      <c r="M2" s="184" t="s">
        <v>125</v>
      </c>
      <c r="N2" s="184" t="s">
        <v>156</v>
      </c>
      <c r="O2" s="184" t="s">
        <v>157</v>
      </c>
      <c r="P2" s="184" t="s">
        <v>158</v>
      </c>
      <c r="Q2" s="60" t="s">
        <v>57</v>
      </c>
      <c r="R2" s="63" t="s">
        <v>2</v>
      </c>
    </row>
    <row r="3" spans="1:18" s="58" customFormat="1" ht="17.25" customHeight="1" x14ac:dyDescent="0.35">
      <c r="A3" s="101">
        <v>0</v>
      </c>
      <c r="B3" s="65">
        <v>2020</v>
      </c>
      <c r="C3" s="102"/>
      <c r="D3" s="102"/>
      <c r="E3" s="102"/>
      <c r="F3" s="103"/>
      <c r="G3" s="104"/>
      <c r="H3" s="105"/>
      <c r="I3" s="105"/>
      <c r="J3" s="102"/>
      <c r="K3" s="106"/>
      <c r="L3" s="105"/>
      <c r="M3" s="104"/>
      <c r="N3" s="69"/>
      <c r="O3" s="69"/>
      <c r="P3" s="69"/>
      <c r="Q3" s="105"/>
      <c r="R3" s="105"/>
    </row>
    <row r="4" spans="1:18" s="58" customFormat="1" ht="17.25" customHeight="1" x14ac:dyDescent="0.35">
      <c r="A4" s="101">
        <v>1</v>
      </c>
      <c r="B4" s="65">
        <v>2021</v>
      </c>
      <c r="C4" s="102"/>
      <c r="D4" s="102"/>
      <c r="E4" s="102"/>
      <c r="F4" s="103"/>
      <c r="G4" s="104"/>
      <c r="H4" s="105"/>
      <c r="I4" s="105"/>
      <c r="J4" s="102"/>
      <c r="K4" s="106"/>
      <c r="L4" s="105"/>
      <c r="M4" s="104"/>
      <c r="N4" s="69"/>
      <c r="O4" s="69"/>
      <c r="P4" s="69"/>
      <c r="Q4" s="105"/>
      <c r="R4" s="105"/>
    </row>
    <row r="5" spans="1:18" s="58" customFormat="1" ht="17.25" customHeight="1" x14ac:dyDescent="0.35">
      <c r="A5" s="101">
        <v>2</v>
      </c>
      <c r="B5" s="65">
        <v>2022</v>
      </c>
      <c r="C5" s="102"/>
      <c r="D5" s="102"/>
      <c r="E5" s="102"/>
      <c r="F5" s="103"/>
      <c r="G5" s="104"/>
      <c r="H5" s="105"/>
      <c r="I5" s="105"/>
      <c r="J5" s="102"/>
      <c r="K5" s="106"/>
      <c r="L5" s="105"/>
      <c r="M5" s="104"/>
      <c r="N5" s="69"/>
      <c r="O5" s="69"/>
      <c r="P5" s="69"/>
      <c r="Q5" s="105"/>
      <c r="R5" s="105"/>
    </row>
    <row r="6" spans="1:18" s="58" customFormat="1" ht="17.25" customHeight="1" x14ac:dyDescent="0.35">
      <c r="A6" s="101">
        <v>3</v>
      </c>
      <c r="B6" s="65">
        <v>2023</v>
      </c>
      <c r="C6" s="102"/>
      <c r="D6" s="102"/>
      <c r="E6" s="102"/>
      <c r="F6" s="103"/>
      <c r="G6" s="104"/>
      <c r="H6" s="105"/>
      <c r="I6" s="105"/>
      <c r="J6" s="102"/>
      <c r="K6" s="106"/>
      <c r="L6" s="105"/>
      <c r="M6" s="104"/>
      <c r="N6" s="69"/>
      <c r="O6" s="69"/>
      <c r="P6" s="69"/>
      <c r="Q6" s="105"/>
      <c r="R6" s="105"/>
    </row>
    <row r="7" spans="1:18" s="58" customFormat="1" ht="17.25" customHeight="1" x14ac:dyDescent="0.35">
      <c r="A7" s="101">
        <v>4</v>
      </c>
      <c r="B7" s="65">
        <v>2024</v>
      </c>
      <c r="C7" s="102"/>
      <c r="D7" s="102"/>
      <c r="E7" s="102"/>
      <c r="F7" s="103"/>
      <c r="G7" s="104"/>
      <c r="H7" s="105"/>
      <c r="I7" s="105"/>
      <c r="J7" s="102"/>
      <c r="K7" s="106"/>
      <c r="L7" s="105"/>
      <c r="M7" s="104"/>
      <c r="N7" s="69"/>
      <c r="O7" s="69"/>
      <c r="P7" s="69"/>
      <c r="Q7" s="105"/>
      <c r="R7" s="105"/>
    </row>
    <row r="8" spans="1:18" s="58" customFormat="1" ht="17.25" customHeight="1" x14ac:dyDescent="0.35">
      <c r="A8" s="101">
        <v>5</v>
      </c>
      <c r="B8" s="65">
        <v>2025</v>
      </c>
      <c r="C8" s="102"/>
      <c r="D8" s="102"/>
      <c r="E8" s="102"/>
      <c r="F8" s="103"/>
      <c r="G8" s="104"/>
      <c r="H8" s="105"/>
      <c r="I8" s="105"/>
      <c r="J8" s="102"/>
      <c r="K8" s="106"/>
      <c r="L8" s="105"/>
      <c r="M8" s="104"/>
      <c r="N8" s="69"/>
      <c r="O8" s="69"/>
      <c r="P8" s="69"/>
      <c r="Q8" s="105"/>
      <c r="R8" s="105"/>
    </row>
    <row r="9" spans="1:18" s="58" customFormat="1" ht="17.25" customHeight="1" x14ac:dyDescent="0.35">
      <c r="A9" s="101">
        <v>6</v>
      </c>
      <c r="B9" s="65">
        <v>2026</v>
      </c>
      <c r="C9" s="102">
        <f>'Outbound Carload Projections'!F4</f>
        <v>3235.294117647059</v>
      </c>
      <c r="D9" s="102">
        <f>'Outbound Carload Projections'!$J$2</f>
        <v>85</v>
      </c>
      <c r="E9" s="102">
        <f t="shared" ref="E9:E37" si="0">C9*D9*2</f>
        <v>550000</v>
      </c>
      <c r="F9" s="103">
        <f t="shared" ref="F9:F37" si="1">E9*84</f>
        <v>46200000</v>
      </c>
      <c r="G9" s="104">
        <f t="shared" ref="G9:G37" si="2">E9/100000000*0.47*11600000</f>
        <v>29985.999999999996</v>
      </c>
      <c r="H9" s="105">
        <f t="shared" ref="H9:H37" si="3">F9*0.0003</f>
        <v>13859.999999999998</v>
      </c>
      <c r="I9" s="105">
        <f t="shared" ref="I9:I37" si="4">F9*0.0006</f>
        <v>27719.999999999996</v>
      </c>
      <c r="J9" s="102">
        <f>C9*9</f>
        <v>29117.647058823532</v>
      </c>
      <c r="K9" s="106">
        <f>'Truck Elimination (Inbound)'!O9</f>
        <v>4.6500000000000004</v>
      </c>
      <c r="L9" s="105">
        <f t="shared" ref="L9:L37" si="5">J9*K9</f>
        <v>135397.05882352943</v>
      </c>
      <c r="M9" s="104">
        <f t="shared" ref="M9:M37" si="6">E9*0.041</f>
        <v>22550</v>
      </c>
      <c r="N9" s="69">
        <f>E9*9.191*0.00220462/2000*16200</f>
        <v>90270.161081099999</v>
      </c>
      <c r="O9" s="69">
        <f>E9*0.215*0.00220462/2000*788100</f>
        <v>102727.38292575</v>
      </c>
      <c r="P9" s="69">
        <f>E9*0.097*0.00220462/2000*44000</f>
        <v>2587.5624939999998</v>
      </c>
      <c r="Q9" s="105">
        <f t="shared" ref="Q9:Q37" si="7">G9+L9+M9+N9+P9+O9</f>
        <v>383518.1653243794</v>
      </c>
      <c r="R9" s="105">
        <f>Q9/(1+0.07)^A9</f>
        <v>255554.34715627588</v>
      </c>
    </row>
    <row r="10" spans="1:18" s="58" customFormat="1" ht="17.25" customHeight="1" x14ac:dyDescent="0.35">
      <c r="A10" s="101">
        <v>7</v>
      </c>
      <c r="B10" s="65">
        <v>2027</v>
      </c>
      <c r="C10" s="102">
        <f>'Outbound Carload Projections'!F5</f>
        <v>9705.8823529411766</v>
      </c>
      <c r="D10" s="102">
        <f>'Outbound Carload Projections'!$J$2</f>
        <v>85</v>
      </c>
      <c r="E10" s="102">
        <f t="shared" si="0"/>
        <v>1650000</v>
      </c>
      <c r="F10" s="103">
        <f t="shared" si="1"/>
        <v>138600000</v>
      </c>
      <c r="G10" s="104">
        <f t="shared" si="2"/>
        <v>89958</v>
      </c>
      <c r="H10" s="105">
        <f t="shared" si="3"/>
        <v>41579.999999999993</v>
      </c>
      <c r="I10" s="105">
        <f t="shared" si="4"/>
        <v>83159.999999999985</v>
      </c>
      <c r="J10" s="102">
        <f t="shared" ref="J10:J38" si="8">C10*9</f>
        <v>87352.941176470587</v>
      </c>
      <c r="K10" s="106">
        <f>'Truck Elimination (Inbound)'!O10</f>
        <v>4.6500000000000004</v>
      </c>
      <c r="L10" s="105">
        <f t="shared" si="5"/>
        <v>406191.17647058825</v>
      </c>
      <c r="M10" s="104">
        <f t="shared" si="6"/>
        <v>67650</v>
      </c>
      <c r="N10" s="69">
        <f>E10*9.191*0.00220462/2000*16500</f>
        <v>275825.49219224998</v>
      </c>
      <c r="O10" s="69">
        <f>E10*0.215*0.00220462/2000*801700</f>
        <v>313500.35360325</v>
      </c>
      <c r="P10" s="69">
        <f>E10*0.097*0.00220462/2000*44900</f>
        <v>7921.4697259499999</v>
      </c>
      <c r="Q10" s="105">
        <f t="shared" si="7"/>
        <v>1161046.4919920382</v>
      </c>
      <c r="R10" s="105">
        <f t="shared" ref="R10:R38" si="9">Q10/(1+0.07)^A10</f>
        <v>723041.40320405178</v>
      </c>
    </row>
    <row r="11" spans="1:18" s="58" customFormat="1" ht="17.25" customHeight="1" x14ac:dyDescent="0.35">
      <c r="A11" s="101">
        <v>8</v>
      </c>
      <c r="B11" s="65">
        <v>2028</v>
      </c>
      <c r="C11" s="102">
        <f>'Outbound Carload Projections'!F6</f>
        <v>12941.176470588236</v>
      </c>
      <c r="D11" s="102">
        <f>'Outbound Carload Projections'!$J$2</f>
        <v>85</v>
      </c>
      <c r="E11" s="102">
        <f t="shared" si="0"/>
        <v>2200000</v>
      </c>
      <c r="F11" s="103">
        <f t="shared" si="1"/>
        <v>184800000</v>
      </c>
      <c r="G11" s="104">
        <f t="shared" si="2"/>
        <v>119943.99999999999</v>
      </c>
      <c r="H11" s="105">
        <f t="shared" si="3"/>
        <v>55439.999999999993</v>
      </c>
      <c r="I11" s="105">
        <f t="shared" si="4"/>
        <v>110879.99999999999</v>
      </c>
      <c r="J11" s="102">
        <f t="shared" si="8"/>
        <v>116470.58823529413</v>
      </c>
      <c r="K11" s="106">
        <f>'Truck Elimination (Inbound)'!O11</f>
        <v>4.6500000000000004</v>
      </c>
      <c r="L11" s="105">
        <f t="shared" si="5"/>
        <v>541588.23529411771</v>
      </c>
      <c r="M11" s="104">
        <f t="shared" si="6"/>
        <v>90200</v>
      </c>
      <c r="N11" s="69">
        <f>E11*9.191*0.00220462/2000*16800</f>
        <v>374454.0015216</v>
      </c>
      <c r="O11" s="69">
        <f>E11*0.215*0.00220462/2000*814500</f>
        <v>424674.297135</v>
      </c>
      <c r="P11" s="69">
        <f>E11*0.097*0.00220462/2000*45700</f>
        <v>10750.1459978</v>
      </c>
      <c r="Q11" s="105">
        <f t="shared" si="7"/>
        <v>1561610.6799485176</v>
      </c>
      <c r="R11" s="105">
        <f t="shared" si="9"/>
        <v>908871.63351603749</v>
      </c>
    </row>
    <row r="12" spans="1:18" s="58" customFormat="1" ht="17.25" customHeight="1" x14ac:dyDescent="0.35">
      <c r="A12" s="101">
        <v>9</v>
      </c>
      <c r="B12" s="65">
        <v>2029</v>
      </c>
      <c r="C12" s="102">
        <f>'Outbound Carload Projections'!F7</f>
        <v>12941.176470588236</v>
      </c>
      <c r="D12" s="102">
        <f>'Outbound Carload Projections'!$J$2</f>
        <v>85</v>
      </c>
      <c r="E12" s="102">
        <f t="shared" si="0"/>
        <v>2200000</v>
      </c>
      <c r="F12" s="103">
        <f t="shared" si="1"/>
        <v>184800000</v>
      </c>
      <c r="G12" s="104">
        <f t="shared" si="2"/>
        <v>119943.99999999999</v>
      </c>
      <c r="H12" s="105">
        <f t="shared" si="3"/>
        <v>55439.999999999993</v>
      </c>
      <c r="I12" s="105">
        <f t="shared" si="4"/>
        <v>110879.99999999999</v>
      </c>
      <c r="J12" s="102">
        <f t="shared" si="8"/>
        <v>116470.58823529413</v>
      </c>
      <c r="K12" s="106">
        <f>'Truck Elimination (Inbound)'!O12</f>
        <v>4.6500000000000004</v>
      </c>
      <c r="L12" s="105">
        <f t="shared" si="5"/>
        <v>541588.23529411771</v>
      </c>
      <c r="M12" s="104">
        <f t="shared" si="6"/>
        <v>90200</v>
      </c>
      <c r="N12" s="69">
        <f>E12*9.191*0.00220462/2000*17100</f>
        <v>381140.68012019998</v>
      </c>
      <c r="O12" s="69">
        <f>E12*0.215*0.00220462/2000*827400</f>
        <v>431400.26206199999</v>
      </c>
      <c r="P12" s="69">
        <f>E12*0.097*0.00220462/2000*46500</f>
        <v>10938.332360999999</v>
      </c>
      <c r="Q12" s="105">
        <f t="shared" si="7"/>
        <v>1575211.5098373177</v>
      </c>
      <c r="R12" s="105">
        <f t="shared" si="9"/>
        <v>856810.69190743868</v>
      </c>
    </row>
    <row r="13" spans="1:18" s="58" customFormat="1" ht="17.25" customHeight="1" x14ac:dyDescent="0.35">
      <c r="A13" s="101">
        <v>10</v>
      </c>
      <c r="B13" s="65">
        <v>2030</v>
      </c>
      <c r="C13" s="102">
        <f>'Outbound Carload Projections'!F8</f>
        <v>12941.176470588236</v>
      </c>
      <c r="D13" s="102">
        <f>'Outbound Carload Projections'!$J$2</f>
        <v>85</v>
      </c>
      <c r="E13" s="102">
        <f t="shared" si="0"/>
        <v>2200000</v>
      </c>
      <c r="F13" s="103">
        <f t="shared" si="1"/>
        <v>184800000</v>
      </c>
      <c r="G13" s="104">
        <f t="shared" si="2"/>
        <v>119943.99999999999</v>
      </c>
      <c r="H13" s="105">
        <f t="shared" si="3"/>
        <v>55439.999999999993</v>
      </c>
      <c r="I13" s="105">
        <f t="shared" si="4"/>
        <v>110879.99999999999</v>
      </c>
      <c r="J13" s="102">
        <f t="shared" si="8"/>
        <v>116470.58823529413</v>
      </c>
      <c r="K13" s="106">
        <f>'Truck Elimination (Inbound)'!O13</f>
        <v>4.6500000000000004</v>
      </c>
      <c r="L13" s="105">
        <f t="shared" si="5"/>
        <v>541588.23529411771</v>
      </c>
      <c r="M13" s="104">
        <f t="shared" si="6"/>
        <v>90200</v>
      </c>
      <c r="N13" s="69">
        <f>E13*9.191*0.00220462/2000*17400</f>
        <v>387827.35871880001</v>
      </c>
      <c r="O13" s="69">
        <f>E13*0.215*0.00220462/2000*840600</f>
        <v>438282.64477800002</v>
      </c>
      <c r="P13" s="69">
        <f>E13*0.097*0.00220462/2000*47300</f>
        <v>11126.518724199999</v>
      </c>
      <c r="Q13" s="105">
        <f t="shared" si="7"/>
        <v>1588968.7575151178</v>
      </c>
      <c r="R13" s="105">
        <f t="shared" si="9"/>
        <v>807751.14310699212</v>
      </c>
    </row>
    <row r="14" spans="1:18" s="58" customFormat="1" ht="17.25" customHeight="1" x14ac:dyDescent="0.35">
      <c r="A14" s="101">
        <v>11</v>
      </c>
      <c r="B14" s="65">
        <v>2031</v>
      </c>
      <c r="C14" s="102">
        <f>'Outbound Carload Projections'!F9</f>
        <v>12941.176470588236</v>
      </c>
      <c r="D14" s="102">
        <f>'Outbound Carload Projections'!$J$2</f>
        <v>85</v>
      </c>
      <c r="E14" s="102">
        <f t="shared" si="0"/>
        <v>2200000</v>
      </c>
      <c r="F14" s="103">
        <f t="shared" si="1"/>
        <v>184800000</v>
      </c>
      <c r="G14" s="104">
        <f t="shared" si="2"/>
        <v>119943.99999999999</v>
      </c>
      <c r="H14" s="105">
        <f t="shared" si="3"/>
        <v>55439.999999999993</v>
      </c>
      <c r="I14" s="105">
        <f t="shared" si="4"/>
        <v>110879.99999999999</v>
      </c>
      <c r="J14" s="102">
        <f t="shared" si="8"/>
        <v>116470.58823529413</v>
      </c>
      <c r="K14" s="106">
        <f>'Truck Elimination (Inbound)'!O14</f>
        <v>4.6500000000000004</v>
      </c>
      <c r="L14" s="105">
        <f t="shared" si="5"/>
        <v>541588.23529411771</v>
      </c>
      <c r="M14" s="104">
        <f t="shared" si="6"/>
        <v>90200</v>
      </c>
      <c r="N14" s="69">
        <f>E14*9.191*0.00220462/2000*17700</f>
        <v>394514.03731739998</v>
      </c>
      <c r="O14" s="69">
        <f>E14*0.215*0.00220462/2000*854000</f>
        <v>445269.30602000002</v>
      </c>
      <c r="P14" s="69">
        <f>E14*0.097*0.00220462/2000*48200</f>
        <v>11338.2283828</v>
      </c>
      <c r="Q14" s="105">
        <f t="shared" si="7"/>
        <v>1602853.8070143177</v>
      </c>
      <c r="R14" s="105">
        <f t="shared" si="9"/>
        <v>761504.29737492139</v>
      </c>
    </row>
    <row r="15" spans="1:18" s="58" customFormat="1" ht="17.25" customHeight="1" x14ac:dyDescent="0.35">
      <c r="A15" s="101">
        <v>12</v>
      </c>
      <c r="B15" s="65">
        <v>2032</v>
      </c>
      <c r="C15" s="102">
        <f>'Outbound Carload Projections'!F10</f>
        <v>12941.176470588236</v>
      </c>
      <c r="D15" s="102">
        <f>'Outbound Carload Projections'!$J$2</f>
        <v>85</v>
      </c>
      <c r="E15" s="102">
        <f t="shared" si="0"/>
        <v>2200000</v>
      </c>
      <c r="F15" s="103">
        <f t="shared" si="1"/>
        <v>184800000</v>
      </c>
      <c r="G15" s="104">
        <f t="shared" si="2"/>
        <v>119943.99999999999</v>
      </c>
      <c r="H15" s="105">
        <f t="shared" si="3"/>
        <v>55439.999999999993</v>
      </c>
      <c r="I15" s="105">
        <f t="shared" si="4"/>
        <v>110879.99999999999</v>
      </c>
      <c r="J15" s="102">
        <f t="shared" si="8"/>
        <v>116470.58823529413</v>
      </c>
      <c r="K15" s="106">
        <f>'Truck Elimination (Inbound)'!O15</f>
        <v>4.6500000000000004</v>
      </c>
      <c r="L15" s="105">
        <f t="shared" si="5"/>
        <v>541588.23529411771</v>
      </c>
      <c r="M15" s="104">
        <f t="shared" si="6"/>
        <v>90200</v>
      </c>
      <c r="N15" s="69">
        <f>E15*9.191*0.00220462/2000*18100</f>
        <v>403429.60878220003</v>
      </c>
      <c r="O15" s="69">
        <f>E15*0.215*0.00220462/2000*867600</f>
        <v>452360.245788</v>
      </c>
      <c r="P15" s="69">
        <f>E15*0.097*0.00220462/2000*49100</f>
        <v>11549.938041399999</v>
      </c>
      <c r="Q15" s="105">
        <f t="shared" si="7"/>
        <v>1619072.0279057177</v>
      </c>
      <c r="R15" s="105">
        <f t="shared" si="9"/>
        <v>718887.34326228814</v>
      </c>
    </row>
    <row r="16" spans="1:18" s="58" customFormat="1" ht="17.25" customHeight="1" x14ac:dyDescent="0.35">
      <c r="A16" s="101">
        <v>13</v>
      </c>
      <c r="B16" s="65">
        <v>2033</v>
      </c>
      <c r="C16" s="102">
        <f>'Outbound Carload Projections'!F11</f>
        <v>12941.176470588236</v>
      </c>
      <c r="D16" s="102">
        <f>'Outbound Carload Projections'!$J$2</f>
        <v>85</v>
      </c>
      <c r="E16" s="102">
        <f t="shared" si="0"/>
        <v>2200000</v>
      </c>
      <c r="F16" s="103">
        <f t="shared" si="1"/>
        <v>184800000</v>
      </c>
      <c r="G16" s="104">
        <f t="shared" si="2"/>
        <v>119943.99999999999</v>
      </c>
      <c r="H16" s="105">
        <f t="shared" si="3"/>
        <v>55439.999999999993</v>
      </c>
      <c r="I16" s="105">
        <f t="shared" si="4"/>
        <v>110879.99999999999</v>
      </c>
      <c r="J16" s="102">
        <f t="shared" si="8"/>
        <v>116470.58823529413</v>
      </c>
      <c r="K16" s="106">
        <f>'Truck Elimination (Inbound)'!O16</f>
        <v>4.6500000000000004</v>
      </c>
      <c r="L16" s="105">
        <f t="shared" si="5"/>
        <v>541588.23529411771</v>
      </c>
      <c r="M16" s="104">
        <f t="shared" si="6"/>
        <v>90200</v>
      </c>
      <c r="N16" s="69">
        <f t="shared" ref="N16:N37" si="10">E16*9.191*0.00220462/2000*18100</f>
        <v>403429.60878220003</v>
      </c>
      <c r="O16" s="69">
        <f t="shared" ref="O16:O37" si="11">E16*0.215*0.00220462/2000*867600</f>
        <v>452360.245788</v>
      </c>
      <c r="P16" s="69">
        <f t="shared" ref="P16:P37" si="12">E16*0.097*0.00220462/2000*49100</f>
        <v>11549.938041399999</v>
      </c>
      <c r="Q16" s="105">
        <f t="shared" si="7"/>
        <v>1619072.0279057177</v>
      </c>
      <c r="R16" s="105">
        <f t="shared" si="9"/>
        <v>671857.33015167108</v>
      </c>
    </row>
    <row r="17" spans="1:18" s="58" customFormat="1" ht="17.25" customHeight="1" x14ac:dyDescent="0.35">
      <c r="A17" s="101">
        <v>14</v>
      </c>
      <c r="B17" s="65">
        <v>2034</v>
      </c>
      <c r="C17" s="102">
        <f>'Outbound Carload Projections'!F12</f>
        <v>12941.176470588236</v>
      </c>
      <c r="D17" s="102">
        <f>'Outbound Carload Projections'!$J$2</f>
        <v>85</v>
      </c>
      <c r="E17" s="102">
        <f t="shared" si="0"/>
        <v>2200000</v>
      </c>
      <c r="F17" s="103">
        <f t="shared" si="1"/>
        <v>184800000</v>
      </c>
      <c r="G17" s="104">
        <f t="shared" si="2"/>
        <v>119943.99999999999</v>
      </c>
      <c r="H17" s="105">
        <f t="shared" si="3"/>
        <v>55439.999999999993</v>
      </c>
      <c r="I17" s="105">
        <f t="shared" si="4"/>
        <v>110879.99999999999</v>
      </c>
      <c r="J17" s="102">
        <f t="shared" si="8"/>
        <v>116470.58823529413</v>
      </c>
      <c r="K17" s="106">
        <f>'Truck Elimination (Inbound)'!O17</f>
        <v>4.6500000000000004</v>
      </c>
      <c r="L17" s="105">
        <f t="shared" si="5"/>
        <v>541588.23529411771</v>
      </c>
      <c r="M17" s="104">
        <f t="shared" si="6"/>
        <v>90200</v>
      </c>
      <c r="N17" s="69">
        <f t="shared" si="10"/>
        <v>403429.60878220003</v>
      </c>
      <c r="O17" s="69">
        <f t="shared" si="11"/>
        <v>452360.245788</v>
      </c>
      <c r="P17" s="69">
        <f t="shared" si="12"/>
        <v>11549.938041399999</v>
      </c>
      <c r="Q17" s="105">
        <f t="shared" si="7"/>
        <v>1619072.0279057177</v>
      </c>
      <c r="R17" s="105">
        <f t="shared" si="9"/>
        <v>627904.04687072069</v>
      </c>
    </row>
    <row r="18" spans="1:18" s="58" customFormat="1" ht="17.25" customHeight="1" x14ac:dyDescent="0.35">
      <c r="A18" s="101">
        <v>15</v>
      </c>
      <c r="B18" s="65">
        <v>2035</v>
      </c>
      <c r="C18" s="102">
        <f>'Outbound Carload Projections'!F13</f>
        <v>12941.176470588236</v>
      </c>
      <c r="D18" s="102">
        <f>'Outbound Carload Projections'!$J$2</f>
        <v>85</v>
      </c>
      <c r="E18" s="102">
        <f t="shared" si="0"/>
        <v>2200000</v>
      </c>
      <c r="F18" s="103">
        <f t="shared" si="1"/>
        <v>184800000</v>
      </c>
      <c r="G18" s="104">
        <f t="shared" si="2"/>
        <v>119943.99999999999</v>
      </c>
      <c r="H18" s="105">
        <f t="shared" si="3"/>
        <v>55439.999999999993</v>
      </c>
      <c r="I18" s="105">
        <f t="shared" si="4"/>
        <v>110879.99999999999</v>
      </c>
      <c r="J18" s="102">
        <f t="shared" si="8"/>
        <v>116470.58823529413</v>
      </c>
      <c r="K18" s="106">
        <f>'Truck Elimination (Inbound)'!O18</f>
        <v>4.6500000000000004</v>
      </c>
      <c r="L18" s="105">
        <f t="shared" si="5"/>
        <v>541588.23529411771</v>
      </c>
      <c r="M18" s="104">
        <f t="shared" si="6"/>
        <v>90200</v>
      </c>
      <c r="N18" s="69">
        <f t="shared" si="10"/>
        <v>403429.60878220003</v>
      </c>
      <c r="O18" s="69">
        <f t="shared" si="11"/>
        <v>452360.245788</v>
      </c>
      <c r="P18" s="69">
        <f t="shared" si="12"/>
        <v>11549.938041399999</v>
      </c>
      <c r="Q18" s="105">
        <f t="shared" si="7"/>
        <v>1619072.0279057177</v>
      </c>
      <c r="R18" s="105">
        <f t="shared" si="9"/>
        <v>586826.21202871087</v>
      </c>
    </row>
    <row r="19" spans="1:18" s="58" customFormat="1" ht="17.25" customHeight="1" x14ac:dyDescent="0.35">
      <c r="A19" s="101">
        <v>16</v>
      </c>
      <c r="B19" s="65">
        <v>2036</v>
      </c>
      <c r="C19" s="102">
        <f>'Outbound Carload Projections'!F14</f>
        <v>12941.176470588236</v>
      </c>
      <c r="D19" s="102">
        <f>'Outbound Carload Projections'!$J$2</f>
        <v>85</v>
      </c>
      <c r="E19" s="102">
        <f t="shared" si="0"/>
        <v>2200000</v>
      </c>
      <c r="F19" s="103">
        <f t="shared" si="1"/>
        <v>184800000</v>
      </c>
      <c r="G19" s="104">
        <f t="shared" si="2"/>
        <v>119943.99999999999</v>
      </c>
      <c r="H19" s="105">
        <f t="shared" si="3"/>
        <v>55439.999999999993</v>
      </c>
      <c r="I19" s="105">
        <f t="shared" si="4"/>
        <v>110879.99999999999</v>
      </c>
      <c r="J19" s="102">
        <f t="shared" si="8"/>
        <v>116470.58823529413</v>
      </c>
      <c r="K19" s="106">
        <f>'Truck Elimination (Inbound)'!O19</f>
        <v>4.6500000000000004</v>
      </c>
      <c r="L19" s="105">
        <f t="shared" si="5"/>
        <v>541588.23529411771</v>
      </c>
      <c r="M19" s="104">
        <f t="shared" si="6"/>
        <v>90200</v>
      </c>
      <c r="N19" s="69">
        <f t="shared" si="10"/>
        <v>403429.60878220003</v>
      </c>
      <c r="O19" s="69">
        <f t="shared" si="11"/>
        <v>452360.245788</v>
      </c>
      <c r="P19" s="69">
        <f t="shared" si="12"/>
        <v>11549.938041399999</v>
      </c>
      <c r="Q19" s="105">
        <f t="shared" si="7"/>
        <v>1619072.0279057177</v>
      </c>
      <c r="R19" s="105">
        <f t="shared" si="9"/>
        <v>548435.71217636543</v>
      </c>
    </row>
    <row r="20" spans="1:18" s="58" customFormat="1" ht="17.25" customHeight="1" x14ac:dyDescent="0.35">
      <c r="A20" s="101">
        <v>17</v>
      </c>
      <c r="B20" s="65">
        <v>2037</v>
      </c>
      <c r="C20" s="102">
        <f>'Outbound Carload Projections'!F15</f>
        <v>12941.176470588236</v>
      </c>
      <c r="D20" s="102">
        <f>'Outbound Carload Projections'!$J$2</f>
        <v>85</v>
      </c>
      <c r="E20" s="102">
        <f t="shared" si="0"/>
        <v>2200000</v>
      </c>
      <c r="F20" s="103">
        <f t="shared" si="1"/>
        <v>184800000</v>
      </c>
      <c r="G20" s="104">
        <f t="shared" si="2"/>
        <v>119943.99999999999</v>
      </c>
      <c r="H20" s="105">
        <f t="shared" si="3"/>
        <v>55439.999999999993</v>
      </c>
      <c r="I20" s="105">
        <f t="shared" si="4"/>
        <v>110879.99999999999</v>
      </c>
      <c r="J20" s="102">
        <f t="shared" si="8"/>
        <v>116470.58823529413</v>
      </c>
      <c r="K20" s="106">
        <f>'Truck Elimination (Inbound)'!O20</f>
        <v>4.6500000000000004</v>
      </c>
      <c r="L20" s="105">
        <f t="shared" si="5"/>
        <v>541588.23529411771</v>
      </c>
      <c r="M20" s="104">
        <f t="shared" si="6"/>
        <v>90200</v>
      </c>
      <c r="N20" s="69">
        <f t="shared" si="10"/>
        <v>403429.60878220003</v>
      </c>
      <c r="O20" s="69">
        <f t="shared" si="11"/>
        <v>452360.245788</v>
      </c>
      <c r="P20" s="69">
        <f t="shared" si="12"/>
        <v>11549.938041399999</v>
      </c>
      <c r="Q20" s="105">
        <f t="shared" si="7"/>
        <v>1619072.0279057177</v>
      </c>
      <c r="R20" s="105">
        <f t="shared" si="9"/>
        <v>512556.74035174336</v>
      </c>
    </row>
    <row r="21" spans="1:18" s="58" customFormat="1" ht="17.25" customHeight="1" x14ac:dyDescent="0.35">
      <c r="A21" s="101">
        <v>18</v>
      </c>
      <c r="B21" s="65">
        <v>2038</v>
      </c>
      <c r="C21" s="102">
        <f>'Outbound Carload Projections'!F16</f>
        <v>12941.176470588236</v>
      </c>
      <c r="D21" s="102">
        <f>'Outbound Carload Projections'!$J$2</f>
        <v>85</v>
      </c>
      <c r="E21" s="102">
        <f t="shared" si="0"/>
        <v>2200000</v>
      </c>
      <c r="F21" s="103">
        <f t="shared" si="1"/>
        <v>184800000</v>
      </c>
      <c r="G21" s="104">
        <f t="shared" si="2"/>
        <v>119943.99999999999</v>
      </c>
      <c r="H21" s="105">
        <f t="shared" si="3"/>
        <v>55439.999999999993</v>
      </c>
      <c r="I21" s="105">
        <f t="shared" si="4"/>
        <v>110879.99999999999</v>
      </c>
      <c r="J21" s="102">
        <f t="shared" si="8"/>
        <v>116470.58823529413</v>
      </c>
      <c r="K21" s="106">
        <f>'Truck Elimination (Inbound)'!O21</f>
        <v>4.6500000000000004</v>
      </c>
      <c r="L21" s="105">
        <f t="shared" si="5"/>
        <v>541588.23529411771</v>
      </c>
      <c r="M21" s="104">
        <f t="shared" si="6"/>
        <v>90200</v>
      </c>
      <c r="N21" s="69">
        <f t="shared" si="10"/>
        <v>403429.60878220003</v>
      </c>
      <c r="O21" s="69">
        <f t="shared" si="11"/>
        <v>452360.245788</v>
      </c>
      <c r="P21" s="69">
        <f t="shared" si="12"/>
        <v>11549.938041399999</v>
      </c>
      <c r="Q21" s="105">
        <f t="shared" si="7"/>
        <v>1619072.0279057177</v>
      </c>
      <c r="R21" s="105">
        <f t="shared" si="9"/>
        <v>479024.99098293768</v>
      </c>
    </row>
    <row r="22" spans="1:18" s="58" customFormat="1" ht="17.25" customHeight="1" x14ac:dyDescent="0.35">
      <c r="A22" s="101">
        <v>19</v>
      </c>
      <c r="B22" s="65">
        <v>2039</v>
      </c>
      <c r="C22" s="102">
        <f>'Outbound Carload Projections'!F17</f>
        <v>12941.176470588236</v>
      </c>
      <c r="D22" s="102">
        <f>'Outbound Carload Projections'!$J$2</f>
        <v>85</v>
      </c>
      <c r="E22" s="102">
        <f t="shared" si="0"/>
        <v>2200000</v>
      </c>
      <c r="F22" s="103">
        <f t="shared" si="1"/>
        <v>184800000</v>
      </c>
      <c r="G22" s="104">
        <f t="shared" si="2"/>
        <v>119943.99999999999</v>
      </c>
      <c r="H22" s="105">
        <f t="shared" si="3"/>
        <v>55439.999999999993</v>
      </c>
      <c r="I22" s="105">
        <f t="shared" si="4"/>
        <v>110879.99999999999</v>
      </c>
      <c r="J22" s="102">
        <f t="shared" si="8"/>
        <v>116470.58823529413</v>
      </c>
      <c r="K22" s="106">
        <f>'Truck Elimination (Inbound)'!O22</f>
        <v>4.6500000000000004</v>
      </c>
      <c r="L22" s="105">
        <f t="shared" si="5"/>
        <v>541588.23529411771</v>
      </c>
      <c r="M22" s="104">
        <f t="shared" si="6"/>
        <v>90200</v>
      </c>
      <c r="N22" s="69">
        <f t="shared" si="10"/>
        <v>403429.60878220003</v>
      </c>
      <c r="O22" s="69">
        <f t="shared" si="11"/>
        <v>452360.245788</v>
      </c>
      <c r="P22" s="69">
        <f t="shared" si="12"/>
        <v>11549.938041399999</v>
      </c>
      <c r="Q22" s="105">
        <f t="shared" si="7"/>
        <v>1619072.0279057177</v>
      </c>
      <c r="R22" s="105">
        <f t="shared" si="9"/>
        <v>447686.90746068943</v>
      </c>
    </row>
    <row r="23" spans="1:18" s="58" customFormat="1" ht="17.25" customHeight="1" x14ac:dyDescent="0.35">
      <c r="A23" s="101">
        <v>20</v>
      </c>
      <c r="B23" s="65">
        <v>2040</v>
      </c>
      <c r="C23" s="102">
        <f>'Outbound Carload Projections'!F18</f>
        <v>12941.176470588236</v>
      </c>
      <c r="D23" s="102">
        <f>'Outbound Carload Projections'!$J$2</f>
        <v>85</v>
      </c>
      <c r="E23" s="102">
        <f t="shared" si="0"/>
        <v>2200000</v>
      </c>
      <c r="F23" s="103">
        <f t="shared" si="1"/>
        <v>184800000</v>
      </c>
      <c r="G23" s="104">
        <f t="shared" si="2"/>
        <v>119943.99999999999</v>
      </c>
      <c r="H23" s="105">
        <f t="shared" si="3"/>
        <v>55439.999999999993</v>
      </c>
      <c r="I23" s="105">
        <f t="shared" si="4"/>
        <v>110879.99999999999</v>
      </c>
      <c r="J23" s="102">
        <f t="shared" si="8"/>
        <v>116470.58823529413</v>
      </c>
      <c r="K23" s="106">
        <f>'Truck Elimination (Inbound)'!O23</f>
        <v>4.6500000000000004</v>
      </c>
      <c r="L23" s="105">
        <f t="shared" si="5"/>
        <v>541588.23529411771</v>
      </c>
      <c r="M23" s="104">
        <f t="shared" si="6"/>
        <v>90200</v>
      </c>
      <c r="N23" s="69">
        <f t="shared" si="10"/>
        <v>403429.60878220003</v>
      </c>
      <c r="O23" s="69">
        <f t="shared" si="11"/>
        <v>452360.245788</v>
      </c>
      <c r="P23" s="69">
        <f t="shared" si="12"/>
        <v>11549.938041399999</v>
      </c>
      <c r="Q23" s="105">
        <f t="shared" si="7"/>
        <v>1619072.0279057177</v>
      </c>
      <c r="R23" s="105">
        <f t="shared" si="9"/>
        <v>418398.97893522377</v>
      </c>
    </row>
    <row r="24" spans="1:18" s="58" customFormat="1" ht="17.25" customHeight="1" x14ac:dyDescent="0.35">
      <c r="A24" s="101">
        <v>21</v>
      </c>
      <c r="B24" s="65">
        <v>2041</v>
      </c>
      <c r="C24" s="102">
        <f>'Outbound Carload Projections'!F19</f>
        <v>12941.176470588236</v>
      </c>
      <c r="D24" s="102">
        <f>'Outbound Carload Projections'!$J$2</f>
        <v>85</v>
      </c>
      <c r="E24" s="102">
        <f t="shared" si="0"/>
        <v>2200000</v>
      </c>
      <c r="F24" s="103">
        <f t="shared" si="1"/>
        <v>184800000</v>
      </c>
      <c r="G24" s="104">
        <f t="shared" si="2"/>
        <v>119943.99999999999</v>
      </c>
      <c r="H24" s="105">
        <f t="shared" si="3"/>
        <v>55439.999999999993</v>
      </c>
      <c r="I24" s="105">
        <f t="shared" si="4"/>
        <v>110879.99999999999</v>
      </c>
      <c r="J24" s="102">
        <f t="shared" si="8"/>
        <v>116470.58823529413</v>
      </c>
      <c r="K24" s="106">
        <f>'Truck Elimination (Inbound)'!O24</f>
        <v>4.6500000000000004</v>
      </c>
      <c r="L24" s="105">
        <f t="shared" si="5"/>
        <v>541588.23529411771</v>
      </c>
      <c r="M24" s="104">
        <f t="shared" si="6"/>
        <v>90200</v>
      </c>
      <c r="N24" s="69">
        <f t="shared" si="10"/>
        <v>403429.60878220003</v>
      </c>
      <c r="O24" s="69">
        <f t="shared" si="11"/>
        <v>452360.245788</v>
      </c>
      <c r="P24" s="69">
        <f t="shared" si="12"/>
        <v>11549.938041399999</v>
      </c>
      <c r="Q24" s="105">
        <f t="shared" si="7"/>
        <v>1619072.0279057177</v>
      </c>
      <c r="R24" s="105">
        <f t="shared" si="9"/>
        <v>391027.08311703155</v>
      </c>
    </row>
    <row r="25" spans="1:18" s="58" customFormat="1" ht="17.25" customHeight="1" x14ac:dyDescent="0.35">
      <c r="A25" s="101">
        <v>22</v>
      </c>
      <c r="B25" s="65">
        <v>2042</v>
      </c>
      <c r="C25" s="102">
        <f>'Outbound Carload Projections'!F20</f>
        <v>12941.176470588236</v>
      </c>
      <c r="D25" s="102">
        <f>'Outbound Carload Projections'!$J$2</f>
        <v>85</v>
      </c>
      <c r="E25" s="102">
        <f t="shared" si="0"/>
        <v>2200000</v>
      </c>
      <c r="F25" s="103">
        <f t="shared" si="1"/>
        <v>184800000</v>
      </c>
      <c r="G25" s="104">
        <f t="shared" si="2"/>
        <v>119943.99999999999</v>
      </c>
      <c r="H25" s="107"/>
      <c r="I25" s="107"/>
      <c r="J25" s="102">
        <f t="shared" si="8"/>
        <v>116470.58823529413</v>
      </c>
      <c r="K25" s="106">
        <f>'Truck Elimination (Inbound)'!O25</f>
        <v>4.6500000000000004</v>
      </c>
      <c r="L25" s="105">
        <f t="shared" si="5"/>
        <v>541588.23529411771</v>
      </c>
      <c r="M25" s="104">
        <f t="shared" si="6"/>
        <v>90200</v>
      </c>
      <c r="N25" s="69">
        <f t="shared" si="10"/>
        <v>403429.60878220003</v>
      </c>
      <c r="O25" s="69">
        <f t="shared" si="11"/>
        <v>452360.245788</v>
      </c>
      <c r="P25" s="69">
        <f t="shared" si="12"/>
        <v>11549.938041399999</v>
      </c>
      <c r="Q25" s="105">
        <f t="shared" si="7"/>
        <v>1619072.0279057177</v>
      </c>
      <c r="R25" s="105">
        <f t="shared" si="9"/>
        <v>365445.87207199208</v>
      </c>
    </row>
    <row r="26" spans="1:18" s="58" customFormat="1" ht="17.25" customHeight="1" x14ac:dyDescent="0.35">
      <c r="A26" s="101">
        <v>23</v>
      </c>
      <c r="B26" s="65">
        <v>2043</v>
      </c>
      <c r="C26" s="102">
        <f>'Outbound Carload Projections'!F21</f>
        <v>12941.176470588236</v>
      </c>
      <c r="D26" s="102">
        <f>'Outbound Carload Projections'!$J$2</f>
        <v>85</v>
      </c>
      <c r="E26" s="102">
        <f t="shared" si="0"/>
        <v>2200000</v>
      </c>
      <c r="F26" s="103">
        <f t="shared" si="1"/>
        <v>184800000</v>
      </c>
      <c r="G26" s="104">
        <f t="shared" si="2"/>
        <v>119943.99999999999</v>
      </c>
      <c r="H26" s="107"/>
      <c r="I26" s="107"/>
      <c r="J26" s="102">
        <f t="shared" si="8"/>
        <v>116470.58823529413</v>
      </c>
      <c r="K26" s="106">
        <f>'Truck Elimination (Inbound)'!O26</f>
        <v>4.6500000000000004</v>
      </c>
      <c r="L26" s="105">
        <f t="shared" si="5"/>
        <v>541588.23529411771</v>
      </c>
      <c r="M26" s="104">
        <f t="shared" si="6"/>
        <v>90200</v>
      </c>
      <c r="N26" s="69">
        <f t="shared" si="10"/>
        <v>403429.60878220003</v>
      </c>
      <c r="O26" s="69">
        <f t="shared" si="11"/>
        <v>452360.245788</v>
      </c>
      <c r="P26" s="69">
        <f t="shared" si="12"/>
        <v>11549.938041399999</v>
      </c>
      <c r="Q26" s="105">
        <f t="shared" si="7"/>
        <v>1619072.0279057177</v>
      </c>
      <c r="R26" s="105">
        <f t="shared" si="9"/>
        <v>341538.19819812343</v>
      </c>
    </row>
    <row r="27" spans="1:18" s="58" customFormat="1" ht="17.25" customHeight="1" x14ac:dyDescent="0.35">
      <c r="A27" s="101">
        <v>24</v>
      </c>
      <c r="B27" s="65">
        <v>2044</v>
      </c>
      <c r="C27" s="102">
        <f>'Outbound Carload Projections'!F22</f>
        <v>12941.176470588236</v>
      </c>
      <c r="D27" s="102">
        <f>'Outbound Carload Projections'!$J$2</f>
        <v>85</v>
      </c>
      <c r="E27" s="102">
        <f t="shared" si="0"/>
        <v>2200000</v>
      </c>
      <c r="F27" s="103">
        <f t="shared" si="1"/>
        <v>184800000</v>
      </c>
      <c r="G27" s="104">
        <f t="shared" si="2"/>
        <v>119943.99999999999</v>
      </c>
      <c r="H27" s="107"/>
      <c r="I27" s="107"/>
      <c r="J27" s="102">
        <f t="shared" si="8"/>
        <v>116470.58823529413</v>
      </c>
      <c r="K27" s="106">
        <f>'Truck Elimination (Inbound)'!O27</f>
        <v>4.6500000000000004</v>
      </c>
      <c r="L27" s="105">
        <f t="shared" si="5"/>
        <v>541588.23529411771</v>
      </c>
      <c r="M27" s="104">
        <f t="shared" si="6"/>
        <v>90200</v>
      </c>
      <c r="N27" s="69">
        <f t="shared" si="10"/>
        <v>403429.60878220003</v>
      </c>
      <c r="O27" s="69">
        <f t="shared" si="11"/>
        <v>452360.245788</v>
      </c>
      <c r="P27" s="69">
        <f t="shared" si="12"/>
        <v>11549.938041399999</v>
      </c>
      <c r="Q27" s="105">
        <f t="shared" si="7"/>
        <v>1619072.0279057177</v>
      </c>
      <c r="R27" s="105">
        <f t="shared" si="9"/>
        <v>319194.57775525557</v>
      </c>
    </row>
    <row r="28" spans="1:18" s="58" customFormat="1" ht="17.25" customHeight="1" x14ac:dyDescent="0.35">
      <c r="A28" s="101">
        <v>25</v>
      </c>
      <c r="B28" s="65">
        <v>2045</v>
      </c>
      <c r="C28" s="102">
        <f>'Outbound Carload Projections'!F23</f>
        <v>12941.176470588236</v>
      </c>
      <c r="D28" s="102">
        <f>'Outbound Carload Projections'!$J$2</f>
        <v>85</v>
      </c>
      <c r="E28" s="102">
        <f t="shared" si="0"/>
        <v>2200000</v>
      </c>
      <c r="F28" s="103">
        <f t="shared" si="1"/>
        <v>184800000</v>
      </c>
      <c r="G28" s="104">
        <f t="shared" si="2"/>
        <v>119943.99999999999</v>
      </c>
      <c r="H28" s="107"/>
      <c r="I28" s="107"/>
      <c r="J28" s="102">
        <f t="shared" si="8"/>
        <v>116470.58823529413</v>
      </c>
      <c r="K28" s="106">
        <f>'Truck Elimination (Inbound)'!O28</f>
        <v>4.6500000000000004</v>
      </c>
      <c r="L28" s="105">
        <f t="shared" si="5"/>
        <v>541588.23529411771</v>
      </c>
      <c r="M28" s="104">
        <f t="shared" si="6"/>
        <v>90200</v>
      </c>
      <c r="N28" s="69">
        <f t="shared" si="10"/>
        <v>403429.60878220003</v>
      </c>
      <c r="O28" s="69">
        <f t="shared" si="11"/>
        <v>452360.245788</v>
      </c>
      <c r="P28" s="69">
        <f t="shared" si="12"/>
        <v>11549.938041399999</v>
      </c>
      <c r="Q28" s="105">
        <f t="shared" si="7"/>
        <v>1619072.0279057177</v>
      </c>
      <c r="R28" s="105">
        <f t="shared" si="9"/>
        <v>298312.68949089304</v>
      </c>
    </row>
    <row r="29" spans="1:18" s="58" customFormat="1" ht="17.25" customHeight="1" x14ac:dyDescent="0.35">
      <c r="A29" s="101">
        <v>26</v>
      </c>
      <c r="B29" s="65">
        <v>2046</v>
      </c>
      <c r="C29" s="102">
        <f>'Outbound Carload Projections'!F24</f>
        <v>12941.176470588236</v>
      </c>
      <c r="D29" s="102">
        <f>'Outbound Carload Projections'!$J$2</f>
        <v>85</v>
      </c>
      <c r="E29" s="102">
        <f t="shared" si="0"/>
        <v>2200000</v>
      </c>
      <c r="F29" s="103">
        <f t="shared" si="1"/>
        <v>184800000</v>
      </c>
      <c r="G29" s="104">
        <f t="shared" si="2"/>
        <v>119943.99999999999</v>
      </c>
      <c r="H29" s="107"/>
      <c r="I29" s="107"/>
      <c r="J29" s="102">
        <f t="shared" si="8"/>
        <v>116470.58823529413</v>
      </c>
      <c r="K29" s="106">
        <f>'Truck Elimination (Inbound)'!O29</f>
        <v>4.6500000000000004</v>
      </c>
      <c r="L29" s="105">
        <f t="shared" si="5"/>
        <v>541588.23529411771</v>
      </c>
      <c r="M29" s="104">
        <f t="shared" si="6"/>
        <v>90200</v>
      </c>
      <c r="N29" s="69">
        <f t="shared" si="10"/>
        <v>403429.60878220003</v>
      </c>
      <c r="O29" s="69">
        <f t="shared" si="11"/>
        <v>452360.245788</v>
      </c>
      <c r="P29" s="69">
        <f t="shared" si="12"/>
        <v>11549.938041399999</v>
      </c>
      <c r="Q29" s="105">
        <f t="shared" si="7"/>
        <v>1619072.0279057177</v>
      </c>
      <c r="R29" s="105">
        <f t="shared" si="9"/>
        <v>278796.90606625518</v>
      </c>
    </row>
    <row r="30" spans="1:18" s="58" customFormat="1" ht="17.25" customHeight="1" x14ac:dyDescent="0.35">
      <c r="A30" s="101">
        <v>27</v>
      </c>
      <c r="B30" s="65">
        <v>2047</v>
      </c>
      <c r="C30" s="102">
        <f>'Outbound Carload Projections'!F25</f>
        <v>12941.176470588236</v>
      </c>
      <c r="D30" s="102">
        <f>'Outbound Carload Projections'!$J$2</f>
        <v>85</v>
      </c>
      <c r="E30" s="102">
        <f t="shared" si="0"/>
        <v>2200000</v>
      </c>
      <c r="F30" s="103">
        <f t="shared" si="1"/>
        <v>184800000</v>
      </c>
      <c r="G30" s="104">
        <f t="shared" si="2"/>
        <v>119943.99999999999</v>
      </c>
      <c r="H30" s="107"/>
      <c r="I30" s="107"/>
      <c r="J30" s="102">
        <f t="shared" si="8"/>
        <v>116470.58823529413</v>
      </c>
      <c r="K30" s="106">
        <f>'Truck Elimination (Inbound)'!O30</f>
        <v>4.6500000000000004</v>
      </c>
      <c r="L30" s="105">
        <f t="shared" si="5"/>
        <v>541588.23529411771</v>
      </c>
      <c r="M30" s="104">
        <f t="shared" si="6"/>
        <v>90200</v>
      </c>
      <c r="N30" s="69">
        <f t="shared" si="10"/>
        <v>403429.60878220003</v>
      </c>
      <c r="O30" s="69">
        <f t="shared" si="11"/>
        <v>452360.245788</v>
      </c>
      <c r="P30" s="69">
        <f t="shared" si="12"/>
        <v>11549.938041399999</v>
      </c>
      <c r="Q30" s="105">
        <f t="shared" si="7"/>
        <v>1619072.0279057177</v>
      </c>
      <c r="R30" s="105">
        <f t="shared" si="9"/>
        <v>260557.85613668704</v>
      </c>
    </row>
    <row r="31" spans="1:18" s="58" customFormat="1" ht="17.25" customHeight="1" x14ac:dyDescent="0.35">
      <c r="A31" s="101">
        <v>28</v>
      </c>
      <c r="B31" s="65">
        <v>2048</v>
      </c>
      <c r="C31" s="102">
        <f>'Outbound Carload Projections'!F26</f>
        <v>12941.176470588236</v>
      </c>
      <c r="D31" s="102">
        <f>'Outbound Carload Projections'!$J$2</f>
        <v>85</v>
      </c>
      <c r="E31" s="102">
        <f t="shared" si="0"/>
        <v>2200000</v>
      </c>
      <c r="F31" s="103">
        <f t="shared" si="1"/>
        <v>184800000</v>
      </c>
      <c r="G31" s="104">
        <f t="shared" si="2"/>
        <v>119943.99999999999</v>
      </c>
      <c r="H31" s="107"/>
      <c r="I31" s="107"/>
      <c r="J31" s="102">
        <f t="shared" si="8"/>
        <v>116470.58823529413</v>
      </c>
      <c r="K31" s="106">
        <f>'Truck Elimination (Inbound)'!O31</f>
        <v>4.6500000000000004</v>
      </c>
      <c r="L31" s="105">
        <f t="shared" si="5"/>
        <v>541588.23529411771</v>
      </c>
      <c r="M31" s="104">
        <f t="shared" si="6"/>
        <v>90200</v>
      </c>
      <c r="N31" s="69">
        <f t="shared" si="10"/>
        <v>403429.60878220003</v>
      </c>
      <c r="O31" s="69">
        <f t="shared" si="11"/>
        <v>452360.245788</v>
      </c>
      <c r="P31" s="69">
        <f t="shared" si="12"/>
        <v>11549.938041399999</v>
      </c>
      <c r="Q31" s="105">
        <f t="shared" si="7"/>
        <v>1619072.0279057177</v>
      </c>
      <c r="R31" s="105">
        <f t="shared" si="9"/>
        <v>243512.01508101597</v>
      </c>
    </row>
    <row r="32" spans="1:18" s="58" customFormat="1" ht="17.25" customHeight="1" x14ac:dyDescent="0.35">
      <c r="A32" s="101">
        <v>29</v>
      </c>
      <c r="B32" s="65">
        <v>2049</v>
      </c>
      <c r="C32" s="102">
        <f>'Outbound Carload Projections'!F27</f>
        <v>12941.176470588236</v>
      </c>
      <c r="D32" s="102">
        <f>'Outbound Carload Projections'!$J$2</f>
        <v>85</v>
      </c>
      <c r="E32" s="102">
        <f t="shared" si="0"/>
        <v>2200000</v>
      </c>
      <c r="F32" s="103">
        <f t="shared" si="1"/>
        <v>184800000</v>
      </c>
      <c r="G32" s="104">
        <f t="shared" si="2"/>
        <v>119943.99999999999</v>
      </c>
      <c r="H32" s="107"/>
      <c r="I32" s="107"/>
      <c r="J32" s="102">
        <f t="shared" si="8"/>
        <v>116470.58823529413</v>
      </c>
      <c r="K32" s="106">
        <f>'Truck Elimination (Inbound)'!O32</f>
        <v>4.6500000000000004</v>
      </c>
      <c r="L32" s="105">
        <f t="shared" si="5"/>
        <v>541588.23529411771</v>
      </c>
      <c r="M32" s="104">
        <f t="shared" si="6"/>
        <v>90200</v>
      </c>
      <c r="N32" s="69">
        <f t="shared" si="10"/>
        <v>403429.60878220003</v>
      </c>
      <c r="O32" s="69">
        <f t="shared" si="11"/>
        <v>452360.245788</v>
      </c>
      <c r="P32" s="69">
        <f t="shared" si="12"/>
        <v>11549.938041399999</v>
      </c>
      <c r="Q32" s="105">
        <f t="shared" si="7"/>
        <v>1619072.0279057177</v>
      </c>
      <c r="R32" s="105">
        <f t="shared" si="9"/>
        <v>227581.32250562237</v>
      </c>
    </row>
    <row r="33" spans="1:18" s="58" customFormat="1" ht="17.25" customHeight="1" x14ac:dyDescent="0.35">
      <c r="A33" s="101">
        <v>30</v>
      </c>
      <c r="B33" s="65">
        <v>2050</v>
      </c>
      <c r="C33" s="102">
        <f>'Outbound Carload Projections'!F28</f>
        <v>12941.176470588236</v>
      </c>
      <c r="D33" s="102">
        <f>'Outbound Carload Projections'!$J$2</f>
        <v>85</v>
      </c>
      <c r="E33" s="102">
        <f t="shared" si="0"/>
        <v>2200000</v>
      </c>
      <c r="F33" s="103">
        <f t="shared" si="1"/>
        <v>184800000</v>
      </c>
      <c r="G33" s="104">
        <f t="shared" si="2"/>
        <v>119943.99999999999</v>
      </c>
      <c r="H33" s="107"/>
      <c r="I33" s="107"/>
      <c r="J33" s="102">
        <f t="shared" si="8"/>
        <v>116470.58823529413</v>
      </c>
      <c r="K33" s="106">
        <f>'Truck Elimination (Inbound)'!O33</f>
        <v>4.6500000000000004</v>
      </c>
      <c r="L33" s="105">
        <f t="shared" si="5"/>
        <v>541588.23529411771</v>
      </c>
      <c r="M33" s="104">
        <f t="shared" si="6"/>
        <v>90200</v>
      </c>
      <c r="N33" s="69">
        <f t="shared" si="10"/>
        <v>403429.60878220003</v>
      </c>
      <c r="O33" s="69">
        <f t="shared" si="11"/>
        <v>452360.245788</v>
      </c>
      <c r="P33" s="69">
        <f t="shared" si="12"/>
        <v>11549.938041399999</v>
      </c>
      <c r="Q33" s="105">
        <f t="shared" si="7"/>
        <v>1619072.0279057177</v>
      </c>
      <c r="R33" s="105">
        <f t="shared" si="9"/>
        <v>212692.82477160971</v>
      </c>
    </row>
    <row r="34" spans="1:18" s="58" customFormat="1" ht="17.25" customHeight="1" x14ac:dyDescent="0.35">
      <c r="A34" s="101">
        <v>31</v>
      </c>
      <c r="B34" s="65">
        <v>2051</v>
      </c>
      <c r="C34" s="102">
        <f>'Outbound Carload Projections'!F29</f>
        <v>12941.176470588236</v>
      </c>
      <c r="D34" s="102">
        <f>'Outbound Carload Projections'!$J$2</f>
        <v>85</v>
      </c>
      <c r="E34" s="102">
        <f t="shared" si="0"/>
        <v>2200000</v>
      </c>
      <c r="F34" s="103">
        <f t="shared" si="1"/>
        <v>184800000</v>
      </c>
      <c r="G34" s="104">
        <f t="shared" si="2"/>
        <v>119943.99999999999</v>
      </c>
      <c r="H34" s="107"/>
      <c r="I34" s="107"/>
      <c r="J34" s="102">
        <f t="shared" si="8"/>
        <v>116470.58823529413</v>
      </c>
      <c r="K34" s="106">
        <f>'Truck Elimination (Inbound)'!O34</f>
        <v>4.6500000000000004</v>
      </c>
      <c r="L34" s="105">
        <f t="shared" si="5"/>
        <v>541588.23529411771</v>
      </c>
      <c r="M34" s="104">
        <f t="shared" si="6"/>
        <v>90200</v>
      </c>
      <c r="N34" s="69">
        <f t="shared" si="10"/>
        <v>403429.60878220003</v>
      </c>
      <c r="O34" s="69">
        <f t="shared" si="11"/>
        <v>452360.245788</v>
      </c>
      <c r="P34" s="69">
        <f t="shared" si="12"/>
        <v>11549.938041399999</v>
      </c>
      <c r="Q34" s="105">
        <f t="shared" si="7"/>
        <v>1619072.0279057177</v>
      </c>
      <c r="R34" s="105">
        <f t="shared" si="9"/>
        <v>198778.34090804643</v>
      </c>
    </row>
    <row r="35" spans="1:18" s="58" customFormat="1" ht="15.75" customHeight="1" thickBot="1" x14ac:dyDescent="0.4">
      <c r="A35" s="101">
        <v>32</v>
      </c>
      <c r="B35" s="65">
        <v>2052</v>
      </c>
      <c r="C35" s="102">
        <f>'Outbound Carload Projections'!F30</f>
        <v>12941.176470588236</v>
      </c>
      <c r="D35" s="102">
        <f>'Outbound Carload Projections'!$J$2</f>
        <v>85</v>
      </c>
      <c r="E35" s="102">
        <f t="shared" si="0"/>
        <v>2200000</v>
      </c>
      <c r="F35" s="103">
        <f t="shared" si="1"/>
        <v>184800000</v>
      </c>
      <c r="G35" s="104">
        <f t="shared" si="2"/>
        <v>119943.99999999999</v>
      </c>
      <c r="H35" s="108">
        <f t="shared" si="3"/>
        <v>55439.999999999993</v>
      </c>
      <c r="I35" s="108">
        <f t="shared" si="4"/>
        <v>110879.99999999999</v>
      </c>
      <c r="J35" s="102">
        <f t="shared" si="8"/>
        <v>116470.58823529413</v>
      </c>
      <c r="K35" s="106">
        <f>'Truck Elimination (Inbound)'!O35</f>
        <v>4.6500000000000004</v>
      </c>
      <c r="L35" s="105">
        <f t="shared" si="5"/>
        <v>541588.23529411771</v>
      </c>
      <c r="M35" s="104">
        <f t="shared" si="6"/>
        <v>90200</v>
      </c>
      <c r="N35" s="69">
        <f t="shared" si="10"/>
        <v>403429.60878220003</v>
      </c>
      <c r="O35" s="69">
        <f t="shared" si="11"/>
        <v>452360.245788</v>
      </c>
      <c r="P35" s="69">
        <f t="shared" si="12"/>
        <v>11549.938041399999</v>
      </c>
      <c r="Q35" s="105">
        <f t="shared" si="7"/>
        <v>1619072.0279057177</v>
      </c>
      <c r="R35" s="105">
        <f t="shared" si="9"/>
        <v>185774.15038135182</v>
      </c>
    </row>
    <row r="36" spans="1:18" s="58" customFormat="1" ht="15.5" customHeight="1" thickBot="1" x14ac:dyDescent="0.4">
      <c r="A36" s="101">
        <v>33</v>
      </c>
      <c r="B36" s="65">
        <v>2053</v>
      </c>
      <c r="C36" s="102">
        <f>'Outbound Carload Projections'!F31</f>
        <v>12941.176470588236</v>
      </c>
      <c r="D36" s="102">
        <f>'Outbound Carload Projections'!$J$2</f>
        <v>85</v>
      </c>
      <c r="E36" s="102">
        <f t="shared" si="0"/>
        <v>2200000</v>
      </c>
      <c r="F36" s="103">
        <f t="shared" si="1"/>
        <v>184800000</v>
      </c>
      <c r="G36" s="104">
        <f t="shared" si="2"/>
        <v>119943.99999999999</v>
      </c>
      <c r="H36" s="108">
        <f t="shared" si="3"/>
        <v>55439.999999999993</v>
      </c>
      <c r="I36" s="108">
        <f t="shared" si="4"/>
        <v>110879.99999999999</v>
      </c>
      <c r="J36" s="102">
        <f t="shared" si="8"/>
        <v>116470.58823529413</v>
      </c>
      <c r="K36" s="106">
        <f>'Truck Elimination (Inbound)'!O36</f>
        <v>4.6500000000000004</v>
      </c>
      <c r="L36" s="105">
        <f t="shared" si="5"/>
        <v>541588.23529411771</v>
      </c>
      <c r="M36" s="104">
        <f t="shared" si="6"/>
        <v>90200</v>
      </c>
      <c r="N36" s="69">
        <f t="shared" si="10"/>
        <v>403429.60878220003</v>
      </c>
      <c r="O36" s="69">
        <f t="shared" si="11"/>
        <v>452360.245788</v>
      </c>
      <c r="P36" s="69">
        <f t="shared" si="12"/>
        <v>11549.938041399999</v>
      </c>
      <c r="Q36" s="105">
        <f t="shared" si="7"/>
        <v>1619072.0279057177</v>
      </c>
      <c r="R36" s="105">
        <f t="shared" si="9"/>
        <v>173620.70129098301</v>
      </c>
    </row>
    <row r="37" spans="1:18" s="58" customFormat="1" ht="15.75" customHeight="1" thickBot="1" x14ac:dyDescent="0.4">
      <c r="A37" s="101">
        <v>34</v>
      </c>
      <c r="B37" s="65">
        <v>2054</v>
      </c>
      <c r="C37" s="102">
        <f>'Outbound Carload Projections'!F32</f>
        <v>12941.176470588236</v>
      </c>
      <c r="D37" s="102">
        <f>'Outbound Carload Projections'!$J$2</f>
        <v>85</v>
      </c>
      <c r="E37" s="102">
        <f t="shared" si="0"/>
        <v>2200000</v>
      </c>
      <c r="F37" s="103">
        <f t="shared" si="1"/>
        <v>184800000</v>
      </c>
      <c r="G37" s="104">
        <f t="shared" si="2"/>
        <v>119943.99999999999</v>
      </c>
      <c r="H37" s="108">
        <f t="shared" si="3"/>
        <v>55439.999999999993</v>
      </c>
      <c r="I37" s="108">
        <f t="shared" si="4"/>
        <v>110879.99999999999</v>
      </c>
      <c r="J37" s="102">
        <f t="shared" si="8"/>
        <v>116470.58823529413</v>
      </c>
      <c r="K37" s="106">
        <f>'Truck Elimination (Inbound)'!O37</f>
        <v>4.6500000000000004</v>
      </c>
      <c r="L37" s="105">
        <f t="shared" si="5"/>
        <v>541588.23529411771</v>
      </c>
      <c r="M37" s="104">
        <f t="shared" si="6"/>
        <v>90200</v>
      </c>
      <c r="N37" s="69">
        <f t="shared" si="10"/>
        <v>403429.60878220003</v>
      </c>
      <c r="O37" s="69">
        <f t="shared" si="11"/>
        <v>452360.245788</v>
      </c>
      <c r="P37" s="69">
        <f t="shared" si="12"/>
        <v>11549.938041399999</v>
      </c>
      <c r="Q37" s="105">
        <f t="shared" si="7"/>
        <v>1619072.0279057177</v>
      </c>
      <c r="R37" s="105">
        <f t="shared" si="9"/>
        <v>162262.33765512431</v>
      </c>
    </row>
    <row r="38" spans="1:18" s="58" customFormat="1" ht="15.5" thickBot="1" x14ac:dyDescent="0.4">
      <c r="A38" s="242">
        <v>35</v>
      </c>
      <c r="B38" s="235">
        <v>2055</v>
      </c>
      <c r="C38" s="243">
        <f>'Outbound Carload Projections'!F33</f>
        <v>12941.176470588236</v>
      </c>
      <c r="D38" s="243">
        <f>'Outbound Carload Projections'!$J$2</f>
        <v>85</v>
      </c>
      <c r="E38" s="243">
        <f>C38*D38*2</f>
        <v>2200000</v>
      </c>
      <c r="F38" s="244">
        <f>E38*84</f>
        <v>184800000</v>
      </c>
      <c r="G38" s="245">
        <f>E38/100000000*0.47*11600000</f>
        <v>119943.99999999999</v>
      </c>
      <c r="H38" s="108">
        <f>F38*0.0003</f>
        <v>55439.999999999993</v>
      </c>
      <c r="I38" s="108">
        <f>F38*0.0006</f>
        <v>110879.99999999999</v>
      </c>
      <c r="J38" s="102">
        <f t="shared" si="8"/>
        <v>116470.58823529413</v>
      </c>
      <c r="K38" s="246">
        <f>'Truck Elimination (Inbound)'!O38</f>
        <v>4.6500000000000004</v>
      </c>
      <c r="L38" s="108">
        <f>J38*K38</f>
        <v>541588.23529411771</v>
      </c>
      <c r="M38" s="245">
        <f>E38*0.041</f>
        <v>90200</v>
      </c>
      <c r="N38" s="240">
        <f>E38*9.191*0.00220462/2000*18100</f>
        <v>403429.60878220003</v>
      </c>
      <c r="O38" s="240">
        <f>E38*0.215*0.00220462/2000*867600</f>
        <v>452360.245788</v>
      </c>
      <c r="P38" s="240">
        <f>E38*0.097*0.00220462/2000*49100</f>
        <v>11549.938041399999</v>
      </c>
      <c r="Q38" s="108">
        <f>G38+L38+M38+N38+P38+O38</f>
        <v>1619072.0279057177</v>
      </c>
      <c r="R38" s="108">
        <f t="shared" si="9"/>
        <v>151647.04453749934</v>
      </c>
    </row>
    <row r="39" spans="1:18" s="58" customFormat="1" ht="16.5" customHeight="1" thickBot="1" x14ac:dyDescent="0.4">
      <c r="A39" s="241"/>
      <c r="B39" s="76" t="s">
        <v>2</v>
      </c>
      <c r="G39" s="109">
        <f>SUM(G3:G38)</f>
        <v>3478376</v>
      </c>
      <c r="L39" s="109">
        <f>SUM(L3:L38)</f>
        <v>15706058.823529424</v>
      </c>
      <c r="M39" s="109">
        <f>SUM(M3:M38)</f>
        <v>2615800</v>
      </c>
      <c r="N39" s="267">
        <f>SUM(N3:P38)</f>
        <v>24930703.257839497</v>
      </c>
      <c r="O39" s="268"/>
      <c r="P39" s="269"/>
      <c r="Q39" s="109">
        <f>SUM(Q3:Q38)</f>
        <v>46730938.081368908</v>
      </c>
      <c r="R39" s="110">
        <f>SUM(R3:R38)</f>
        <v>13135853.698453562</v>
      </c>
    </row>
    <row r="40" spans="1:18" ht="15" customHeight="1" x14ac:dyDescent="0.3">
      <c r="G40" s="111">
        <f>G39/Q39</f>
        <v>7.4434114588998346E-2</v>
      </c>
      <c r="H40" s="112"/>
      <c r="I40" s="112"/>
      <c r="J40" s="112"/>
      <c r="K40" s="112"/>
      <c r="L40" s="111">
        <f>L39/Q39</f>
        <v>0.33609551762435624</v>
      </c>
      <c r="M40" s="111">
        <f>M39/Q39</f>
        <v>5.5975764822981153E-2</v>
      </c>
      <c r="N40" s="270">
        <f>N39/Q39</f>
        <v>0.53349460296366458</v>
      </c>
      <c r="O40" s="270"/>
      <c r="P40" s="270"/>
      <c r="Q40" s="113">
        <f>SUM(N40,M40,L40,G40)</f>
        <v>1.0000000000000004</v>
      </c>
    </row>
    <row r="41" spans="1:18" ht="15" customHeight="1" x14ac:dyDescent="0.3">
      <c r="G41" s="93"/>
      <c r="H41" s="93"/>
      <c r="I41" s="93"/>
      <c r="J41" s="93"/>
      <c r="K41" s="93"/>
      <c r="L41" s="93"/>
      <c r="M41" s="93"/>
      <c r="N41" s="93"/>
      <c r="O41" s="93"/>
      <c r="P41" s="93"/>
      <c r="Q41" s="114"/>
    </row>
    <row r="42" spans="1:18" s="58" customFormat="1" x14ac:dyDescent="0.3">
      <c r="G42" s="93"/>
      <c r="H42" s="93"/>
      <c r="I42" s="93"/>
      <c r="J42" s="93"/>
      <c r="K42" s="93"/>
      <c r="L42" s="93"/>
      <c r="M42" s="93"/>
      <c r="N42" s="93"/>
      <c r="O42" s="93"/>
      <c r="P42" s="93"/>
      <c r="Q42" s="114"/>
    </row>
    <row r="43" spans="1:18" ht="15" customHeight="1" x14ac:dyDescent="0.3">
      <c r="G43" s="93"/>
      <c r="H43" s="93"/>
      <c r="I43" s="93"/>
      <c r="J43" s="93"/>
      <c r="K43" s="93"/>
      <c r="L43" s="93"/>
      <c r="M43" s="93"/>
      <c r="N43" s="93"/>
      <c r="O43" s="93"/>
      <c r="P43" s="93"/>
      <c r="Q43" s="114"/>
    </row>
    <row r="44" spans="1:18" ht="15" customHeight="1" x14ac:dyDescent="0.3">
      <c r="G44" s="93"/>
      <c r="H44" s="93"/>
      <c r="I44" s="93"/>
      <c r="J44" s="93"/>
      <c r="K44" s="93"/>
      <c r="L44" s="93"/>
      <c r="M44" s="93"/>
      <c r="N44" s="93"/>
      <c r="O44" s="93"/>
      <c r="P44" s="93"/>
      <c r="Q44" s="114"/>
    </row>
    <row r="45" spans="1:18" ht="15" customHeight="1" x14ac:dyDescent="0.3">
      <c r="G45" s="93"/>
      <c r="H45" s="93"/>
      <c r="I45" s="93"/>
      <c r="J45" s="93"/>
      <c r="K45" s="93"/>
      <c r="L45" s="93"/>
      <c r="M45" s="93"/>
      <c r="N45" s="93"/>
      <c r="O45" s="93"/>
      <c r="P45" s="93"/>
      <c r="Q45" s="114"/>
    </row>
    <row r="46" spans="1:18" ht="15" customHeight="1" x14ac:dyDescent="0.3">
      <c r="G46" s="93"/>
      <c r="H46" s="93"/>
      <c r="I46" s="93"/>
      <c r="J46" s="93"/>
      <c r="K46" s="93"/>
      <c r="L46" s="93"/>
      <c r="M46" s="93"/>
      <c r="N46" s="93"/>
      <c r="O46" s="93"/>
      <c r="P46" s="93"/>
      <c r="Q46" s="114"/>
    </row>
    <row r="47" spans="1:18" ht="15" customHeight="1" x14ac:dyDescent="0.3">
      <c r="G47" s="93"/>
      <c r="H47" s="93"/>
      <c r="I47" s="93"/>
      <c r="J47" s="93"/>
      <c r="K47" s="93"/>
      <c r="L47" s="93"/>
      <c r="M47" s="93"/>
      <c r="N47" s="93"/>
      <c r="O47" s="93"/>
      <c r="P47" s="93"/>
      <c r="Q47" s="114"/>
    </row>
    <row r="48" spans="1:18" ht="15" customHeight="1" x14ac:dyDescent="0.3">
      <c r="G48" s="93"/>
      <c r="H48" s="93"/>
      <c r="I48" s="93"/>
      <c r="J48" s="93"/>
      <c r="K48" s="93"/>
      <c r="L48" s="93"/>
      <c r="M48" s="93"/>
      <c r="N48" s="93"/>
      <c r="O48" s="93"/>
      <c r="P48" s="93"/>
      <c r="Q48" s="114"/>
    </row>
    <row r="49" spans="7:17" ht="15" customHeight="1" x14ac:dyDescent="0.3">
      <c r="G49" s="93"/>
      <c r="H49" s="93"/>
      <c r="I49" s="93"/>
      <c r="J49" s="93"/>
      <c r="K49" s="93"/>
      <c r="L49" s="93"/>
      <c r="M49" s="93"/>
      <c r="N49" s="93"/>
      <c r="O49" s="93"/>
      <c r="P49" s="93"/>
      <c r="Q49" s="114"/>
    </row>
    <row r="50" spans="7:17" ht="15" customHeight="1" x14ac:dyDescent="0.3">
      <c r="G50" s="93"/>
      <c r="H50" s="93"/>
      <c r="I50" s="93"/>
      <c r="J50" s="93"/>
      <c r="K50" s="93"/>
      <c r="L50" s="93"/>
      <c r="M50" s="93"/>
      <c r="N50" s="93"/>
      <c r="O50" s="93"/>
      <c r="P50" s="93"/>
      <c r="Q50" s="114"/>
    </row>
    <row r="51" spans="7:17" ht="15" customHeight="1" x14ac:dyDescent="0.3">
      <c r="G51" s="93"/>
      <c r="H51" s="93"/>
      <c r="I51" s="93"/>
      <c r="J51" s="93"/>
      <c r="K51" s="93"/>
      <c r="L51" s="93"/>
      <c r="M51" s="93"/>
      <c r="N51" s="93"/>
      <c r="O51" s="93"/>
      <c r="P51" s="93"/>
      <c r="Q51" s="114"/>
    </row>
    <row r="52" spans="7:17" ht="15" customHeight="1" x14ac:dyDescent="0.3">
      <c r="G52" s="93"/>
      <c r="H52" s="93"/>
      <c r="I52" s="93"/>
      <c r="J52" s="93"/>
      <c r="K52" s="93"/>
      <c r="L52" s="93"/>
      <c r="M52" s="93"/>
      <c r="N52" s="93"/>
      <c r="O52" s="93"/>
      <c r="P52" s="93"/>
      <c r="Q52" s="114"/>
    </row>
    <row r="53" spans="7:17" ht="15" customHeight="1" x14ac:dyDescent="0.3">
      <c r="G53" s="93"/>
      <c r="H53" s="93"/>
      <c r="I53" s="93"/>
      <c r="J53" s="93"/>
      <c r="K53" s="93"/>
      <c r="L53" s="93"/>
      <c r="M53" s="93"/>
      <c r="N53" s="93"/>
      <c r="O53" s="93"/>
      <c r="P53" s="93"/>
      <c r="Q53" s="114"/>
    </row>
    <row r="54" spans="7:17" ht="15" customHeight="1" x14ac:dyDescent="0.3">
      <c r="G54" s="93"/>
      <c r="H54" s="93"/>
      <c r="I54" s="93"/>
      <c r="J54" s="93"/>
      <c r="K54" s="93"/>
      <c r="L54" s="93"/>
      <c r="M54" s="93"/>
      <c r="N54" s="93"/>
      <c r="O54" s="93"/>
      <c r="P54" s="93"/>
      <c r="Q54" s="114"/>
    </row>
    <row r="55" spans="7:17" ht="15" customHeight="1" x14ac:dyDescent="0.3">
      <c r="G55" s="93"/>
      <c r="H55" s="93"/>
      <c r="I55" s="93"/>
      <c r="J55" s="93"/>
      <c r="K55" s="93"/>
      <c r="L55" s="93"/>
      <c r="M55" s="93"/>
      <c r="N55" s="93"/>
      <c r="O55" s="93"/>
      <c r="P55" s="93"/>
      <c r="Q55" s="114"/>
    </row>
    <row r="56" spans="7:17" ht="15" customHeight="1" x14ac:dyDescent="0.3">
      <c r="G56" s="93"/>
      <c r="H56" s="93"/>
      <c r="I56" s="93"/>
      <c r="J56" s="93"/>
      <c r="K56" s="93"/>
      <c r="L56" s="93"/>
      <c r="M56" s="93"/>
      <c r="N56" s="93"/>
      <c r="O56" s="93"/>
      <c r="P56" s="93"/>
      <c r="Q56" s="114"/>
    </row>
    <row r="57" spans="7:17" ht="15" customHeight="1" x14ac:dyDescent="0.3">
      <c r="G57" s="93"/>
      <c r="H57" s="93"/>
      <c r="I57" s="93"/>
      <c r="J57" s="93"/>
      <c r="K57" s="93"/>
      <c r="L57" s="93"/>
      <c r="M57" s="93"/>
      <c r="N57" s="93"/>
      <c r="O57" s="93"/>
      <c r="P57" s="93"/>
      <c r="Q57" s="114"/>
    </row>
    <row r="58" spans="7:17" ht="15" customHeight="1" x14ac:dyDescent="0.3">
      <c r="G58" s="93"/>
      <c r="H58" s="93"/>
      <c r="I58" s="93"/>
      <c r="J58" s="93"/>
      <c r="K58" s="93"/>
      <c r="L58" s="93"/>
      <c r="M58" s="93"/>
      <c r="N58" s="93"/>
      <c r="O58" s="93"/>
      <c r="P58" s="93"/>
      <c r="Q58" s="114"/>
    </row>
    <row r="59" spans="7:17" ht="15" customHeight="1" x14ac:dyDescent="0.3">
      <c r="G59" s="93"/>
      <c r="H59" s="93"/>
      <c r="I59" s="93"/>
      <c r="J59" s="93"/>
      <c r="K59" s="93"/>
      <c r="L59" s="93"/>
      <c r="M59" s="93"/>
      <c r="N59" s="93"/>
      <c r="O59" s="93"/>
      <c r="P59" s="93"/>
      <c r="Q59" s="114"/>
    </row>
    <row r="60" spans="7:17" ht="15" customHeight="1" x14ac:dyDescent="0.3">
      <c r="G60" s="93"/>
      <c r="H60" s="93"/>
      <c r="I60" s="93"/>
      <c r="J60" s="93"/>
      <c r="K60" s="93"/>
      <c r="L60" s="93"/>
      <c r="M60" s="93"/>
      <c r="N60" s="93"/>
      <c r="O60" s="93"/>
      <c r="P60" s="93"/>
      <c r="Q60" s="114"/>
    </row>
    <row r="61" spans="7:17" ht="15" customHeight="1" x14ac:dyDescent="0.3">
      <c r="G61" s="93"/>
      <c r="H61" s="93"/>
      <c r="I61" s="93"/>
      <c r="J61" s="93"/>
      <c r="K61" s="93"/>
      <c r="L61" s="93"/>
      <c r="M61" s="93"/>
      <c r="N61" s="93"/>
      <c r="O61" s="93"/>
      <c r="P61" s="93"/>
      <c r="Q61" s="114"/>
    </row>
    <row r="62" spans="7:17" ht="15" customHeight="1" x14ac:dyDescent="0.3">
      <c r="G62" s="93"/>
      <c r="H62" s="93"/>
      <c r="I62" s="93"/>
      <c r="J62" s="93"/>
      <c r="K62" s="93"/>
      <c r="L62" s="93"/>
      <c r="M62" s="93"/>
      <c r="N62" s="93"/>
      <c r="O62" s="93"/>
      <c r="P62" s="93"/>
      <c r="Q62" s="114"/>
    </row>
    <row r="63" spans="7:17" ht="15" customHeight="1" x14ac:dyDescent="0.3">
      <c r="G63" s="93"/>
      <c r="H63" s="93"/>
      <c r="I63" s="93"/>
      <c r="J63" s="93"/>
      <c r="K63" s="93"/>
      <c r="L63" s="93"/>
      <c r="M63" s="93"/>
      <c r="N63" s="93"/>
      <c r="O63" s="93"/>
      <c r="P63" s="93"/>
      <c r="Q63" s="114"/>
    </row>
    <row r="64" spans="7:17" ht="15" customHeight="1" x14ac:dyDescent="0.3">
      <c r="G64" s="93"/>
      <c r="H64" s="93"/>
      <c r="I64" s="93"/>
      <c r="J64" s="93"/>
      <c r="K64" s="93"/>
      <c r="L64" s="93"/>
      <c r="M64" s="93"/>
      <c r="N64" s="93"/>
      <c r="O64" s="93"/>
      <c r="P64" s="93"/>
      <c r="Q64" s="114"/>
    </row>
    <row r="65" spans="7:17" ht="15" customHeight="1" x14ac:dyDescent="0.3">
      <c r="G65" s="93"/>
      <c r="H65" s="93"/>
      <c r="I65" s="93"/>
      <c r="J65" s="93"/>
      <c r="K65" s="93"/>
      <c r="L65" s="93"/>
      <c r="M65" s="93"/>
      <c r="N65" s="93"/>
      <c r="O65" s="93"/>
      <c r="P65" s="93"/>
      <c r="Q65" s="114"/>
    </row>
    <row r="66" spans="7:17" ht="15" customHeight="1" x14ac:dyDescent="0.3">
      <c r="G66" s="93"/>
      <c r="H66" s="93"/>
      <c r="I66" s="93"/>
      <c r="J66" s="93"/>
      <c r="K66" s="93"/>
      <c r="L66" s="93"/>
      <c r="M66" s="93"/>
      <c r="N66" s="93"/>
      <c r="O66" s="93"/>
      <c r="P66" s="93"/>
      <c r="Q66" s="114"/>
    </row>
    <row r="67" spans="7:17" ht="15" customHeight="1" x14ac:dyDescent="0.3">
      <c r="G67" s="93"/>
      <c r="H67" s="93"/>
      <c r="I67" s="93"/>
      <c r="J67" s="93"/>
      <c r="K67" s="93"/>
      <c r="L67" s="93"/>
      <c r="M67" s="93"/>
      <c r="N67" s="93"/>
      <c r="O67" s="93"/>
      <c r="P67" s="93"/>
      <c r="Q67" s="114"/>
    </row>
    <row r="68" spans="7:17" ht="15" customHeight="1" x14ac:dyDescent="0.3">
      <c r="G68" s="93"/>
      <c r="H68" s="93"/>
      <c r="I68" s="93"/>
      <c r="J68" s="93"/>
      <c r="K68" s="93"/>
      <c r="L68" s="93"/>
      <c r="M68" s="93"/>
      <c r="N68" s="93"/>
      <c r="O68" s="93"/>
      <c r="P68" s="93"/>
      <c r="Q68" s="114"/>
    </row>
    <row r="69" spans="7:17" ht="15" customHeight="1" x14ac:dyDescent="0.3">
      <c r="G69" s="93"/>
      <c r="H69" s="93"/>
      <c r="I69" s="93"/>
      <c r="J69" s="93"/>
      <c r="K69" s="93"/>
      <c r="L69" s="93"/>
      <c r="M69" s="93"/>
      <c r="N69" s="93"/>
      <c r="O69" s="93"/>
      <c r="P69" s="93"/>
      <c r="Q69" s="114"/>
    </row>
    <row r="70" spans="7:17" ht="15" customHeight="1" x14ac:dyDescent="0.3">
      <c r="G70" s="93"/>
      <c r="H70" s="93"/>
      <c r="I70" s="93"/>
      <c r="J70" s="93"/>
      <c r="K70" s="93"/>
      <c r="L70" s="93"/>
      <c r="M70" s="93"/>
      <c r="N70" s="93"/>
      <c r="O70" s="93"/>
      <c r="P70" s="93"/>
      <c r="Q70" s="114"/>
    </row>
    <row r="71" spans="7:17" ht="15" customHeight="1" x14ac:dyDescent="0.3">
      <c r="G71" s="93"/>
      <c r="H71" s="93"/>
      <c r="I71" s="93"/>
      <c r="J71" s="93"/>
      <c r="K71" s="93"/>
      <c r="L71" s="93"/>
      <c r="M71" s="93"/>
      <c r="N71" s="93"/>
      <c r="O71" s="93"/>
      <c r="P71" s="93"/>
      <c r="Q71" s="114"/>
    </row>
    <row r="72" spans="7:17" ht="15" customHeight="1" x14ac:dyDescent="0.3">
      <c r="G72" s="93"/>
      <c r="H72" s="93"/>
      <c r="I72" s="93"/>
      <c r="J72" s="93"/>
      <c r="K72" s="93"/>
      <c r="L72" s="93"/>
      <c r="M72" s="93"/>
      <c r="N72" s="93"/>
      <c r="O72" s="93"/>
      <c r="P72" s="93"/>
      <c r="Q72" s="114"/>
    </row>
  </sheetData>
  <mergeCells count="2">
    <mergeCell ref="N39:P39"/>
    <mergeCell ref="N40:P40"/>
  </mergeCells>
  <pageMargins left="0.75" right="0.75" top="1" bottom="1" header="0.5" footer="0.5"/>
  <pageSetup scale="22" orientation="portrait" horizontalDpi="4294967292" verticalDpi="4294967292"/>
  <headerFooter>
    <oddFooter>&amp;L&amp;"Helvetica,Regular"&amp;12&amp;K000000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DEEE-BF8D-4414-90B9-6467B00CA1A7}">
  <sheetPr>
    <tabColor rgb="FF00B050"/>
    <pageSetUpPr fitToPage="1"/>
  </sheetPr>
  <dimension ref="A1:IT282"/>
  <sheetViews>
    <sheetView showGridLines="0" zoomScale="85" zoomScaleNormal="85" workbookViewId="0">
      <pane xSplit="2" ySplit="2" topLeftCell="C3" activePane="bottomRight" state="frozen"/>
      <selection activeCell="L2" sqref="L2"/>
      <selection pane="topRight" activeCell="L2" sqref="L2"/>
      <selection pane="bottomLeft" activeCell="L2" sqref="L2"/>
      <selection pane="bottomRight"/>
    </sheetView>
  </sheetViews>
  <sheetFormatPr defaultColWidth="26.6640625" defaultRowHeight="15" customHeight="1" x14ac:dyDescent="0.3"/>
  <cols>
    <col min="1" max="1" width="5.3984375" style="58" customWidth="1"/>
    <col min="2" max="2" width="10.1328125" style="58" customWidth="1"/>
    <col min="3" max="3" width="10.6640625" style="58" customWidth="1"/>
    <col min="4" max="4" width="12.86328125" style="58" customWidth="1"/>
    <col min="5" max="5" width="13.59765625" style="58" customWidth="1"/>
    <col min="6" max="6" width="20.59765625" style="58" customWidth="1"/>
    <col min="7" max="7" width="25.1328125" style="58" customWidth="1"/>
    <col min="8" max="8" width="25" style="58" customWidth="1"/>
    <col min="9" max="9" width="16" style="88" customWidth="1"/>
    <col min="10" max="10" width="18.265625" style="58" customWidth="1"/>
    <col min="11" max="11" width="19.796875" style="58" customWidth="1"/>
    <col min="12" max="12" width="18.3984375" style="58" customWidth="1"/>
    <col min="13" max="13" width="13.06640625" style="88" customWidth="1"/>
    <col min="14" max="14" width="16.46484375" style="90" customWidth="1"/>
    <col min="15" max="15" width="16.33203125" style="58" customWidth="1"/>
    <col min="16" max="16" width="17.06640625" style="58" bestFit="1" customWidth="1"/>
    <col min="17" max="17" width="13.6640625" style="58" customWidth="1"/>
    <col min="18" max="18" width="16.86328125" style="58" customWidth="1"/>
    <col min="19" max="19" width="15.06640625" style="58" bestFit="1" customWidth="1"/>
    <col min="20" max="20" width="18.19921875" style="58" customWidth="1"/>
    <col min="21" max="21" width="11.06640625" style="58" customWidth="1"/>
    <col min="22" max="254" width="26.6640625" style="58" customWidth="1"/>
    <col min="255" max="16384" width="26.6640625" style="91"/>
  </cols>
  <sheetData>
    <row r="1" spans="1:21" ht="15.75" customHeight="1" thickBot="1" x14ac:dyDescent="0.4">
      <c r="A1" s="51" t="s">
        <v>3</v>
      </c>
      <c r="B1" s="52" t="s">
        <v>4</v>
      </c>
      <c r="C1" s="53" t="s">
        <v>5</v>
      </c>
      <c r="D1" s="53" t="s">
        <v>6</v>
      </c>
      <c r="E1" s="53" t="s">
        <v>7</v>
      </c>
      <c r="F1" s="53" t="s">
        <v>8</v>
      </c>
      <c r="G1" s="53" t="s">
        <v>35</v>
      </c>
      <c r="H1" s="53" t="s">
        <v>36</v>
      </c>
      <c r="I1" s="54" t="s">
        <v>37</v>
      </c>
      <c r="J1" s="54" t="s">
        <v>38</v>
      </c>
      <c r="K1" s="53" t="s">
        <v>39</v>
      </c>
      <c r="L1" s="53" t="s">
        <v>40</v>
      </c>
      <c r="M1" s="54" t="s">
        <v>41</v>
      </c>
      <c r="N1" s="56" t="s">
        <v>42</v>
      </c>
      <c r="O1" s="53" t="s">
        <v>43</v>
      </c>
      <c r="P1" s="53" t="s">
        <v>44</v>
      </c>
      <c r="Q1" s="53" t="s">
        <v>45</v>
      </c>
      <c r="R1" s="53" t="s">
        <v>46</v>
      </c>
      <c r="S1" s="53" t="s">
        <v>47</v>
      </c>
      <c r="T1" s="53" t="s">
        <v>48</v>
      </c>
      <c r="U1" s="202" t="s">
        <v>49</v>
      </c>
    </row>
    <row r="2" spans="1:21" ht="207" customHeight="1" x14ac:dyDescent="0.35">
      <c r="A2" s="59" t="s">
        <v>50</v>
      </c>
      <c r="B2" s="182" t="s">
        <v>124</v>
      </c>
      <c r="C2" s="183" t="s">
        <v>122</v>
      </c>
      <c r="D2" s="183" t="s">
        <v>133</v>
      </c>
      <c r="E2" s="183" t="s">
        <v>146</v>
      </c>
      <c r="F2" s="184" t="s">
        <v>127</v>
      </c>
      <c r="G2" s="187" t="s">
        <v>128</v>
      </c>
      <c r="H2" s="187" t="s">
        <v>129</v>
      </c>
      <c r="I2" s="188" t="s">
        <v>151</v>
      </c>
      <c r="J2" s="184" t="s">
        <v>186</v>
      </c>
      <c r="K2" s="189" t="s">
        <v>185</v>
      </c>
      <c r="L2" s="190" t="s">
        <v>147</v>
      </c>
      <c r="M2" s="191" t="s">
        <v>131</v>
      </c>
      <c r="N2" s="62" t="s">
        <v>132</v>
      </c>
      <c r="O2" s="183" t="str">
        <f>'Truck Elimination (Inbound)'!O2</f>
        <v>Price/Gallon of Diesel Fuel (U.S. Energy Information Administration Annual Energy November 2022 Actuals, Held Constant to be Conservative)</v>
      </c>
      <c r="P2" s="61" t="s">
        <v>51</v>
      </c>
      <c r="Q2" s="192" t="s">
        <v>152</v>
      </c>
      <c r="R2" s="192" t="s">
        <v>153</v>
      </c>
      <c r="S2" s="192" t="s">
        <v>154</v>
      </c>
      <c r="T2" s="60" t="s">
        <v>187</v>
      </c>
      <c r="U2" s="63" t="s">
        <v>2</v>
      </c>
    </row>
    <row r="3" spans="1:21" ht="17.25" customHeight="1" x14ac:dyDescent="0.35">
      <c r="A3" s="64">
        <v>0</v>
      </c>
      <c r="B3" s="65">
        <v>2020</v>
      </c>
      <c r="C3" s="66"/>
      <c r="D3" s="66"/>
      <c r="E3" s="66"/>
      <c r="F3" s="67"/>
      <c r="G3" s="67"/>
      <c r="H3" s="67"/>
      <c r="I3" s="68"/>
      <c r="J3" s="69"/>
      <c r="K3" s="67"/>
      <c r="L3" s="66"/>
      <c r="M3" s="68"/>
      <c r="N3" s="68"/>
      <c r="O3" s="70"/>
      <c r="P3" s="67"/>
      <c r="Q3" s="69"/>
      <c r="R3" s="69"/>
      <c r="S3" s="69"/>
      <c r="T3" s="67"/>
      <c r="U3" s="67"/>
    </row>
    <row r="4" spans="1:21" ht="17.25" customHeight="1" x14ac:dyDescent="0.35">
      <c r="A4" s="64">
        <v>1</v>
      </c>
      <c r="B4" s="65">
        <v>2021</v>
      </c>
      <c r="C4" s="66"/>
      <c r="D4" s="66"/>
      <c r="E4" s="66"/>
      <c r="F4" s="67"/>
      <c r="G4" s="67"/>
      <c r="H4" s="67"/>
      <c r="I4" s="68"/>
      <c r="J4" s="69"/>
      <c r="K4" s="67"/>
      <c r="L4" s="66"/>
      <c r="M4" s="68"/>
      <c r="N4" s="68"/>
      <c r="O4" s="70"/>
      <c r="P4" s="67"/>
      <c r="Q4" s="69"/>
      <c r="R4" s="69"/>
      <c r="S4" s="69"/>
      <c r="T4" s="67"/>
      <c r="U4" s="67"/>
    </row>
    <row r="5" spans="1:21" ht="17.25" customHeight="1" x14ac:dyDescent="0.35">
      <c r="A5" s="64">
        <v>2</v>
      </c>
      <c r="B5" s="65">
        <v>2022</v>
      </c>
      <c r="C5" s="66"/>
      <c r="D5" s="66"/>
      <c r="E5" s="66"/>
      <c r="F5" s="67"/>
      <c r="G5" s="67"/>
      <c r="H5" s="67"/>
      <c r="I5" s="68"/>
      <c r="J5" s="69"/>
      <c r="K5" s="67"/>
      <c r="L5" s="66"/>
      <c r="M5" s="68"/>
      <c r="N5" s="68"/>
      <c r="O5" s="70"/>
      <c r="P5" s="67"/>
      <c r="Q5" s="69"/>
      <c r="R5" s="69"/>
      <c r="S5" s="69"/>
      <c r="T5" s="67"/>
      <c r="U5" s="67"/>
    </row>
    <row r="6" spans="1:21" ht="17.25" customHeight="1" x14ac:dyDescent="0.35">
      <c r="A6" s="64">
        <v>3</v>
      </c>
      <c r="B6" s="65">
        <v>2023</v>
      </c>
      <c r="C6" s="66"/>
      <c r="D6" s="66"/>
      <c r="E6" s="66"/>
      <c r="F6" s="67"/>
      <c r="G6" s="67"/>
      <c r="H6" s="67"/>
      <c r="I6" s="68"/>
      <c r="J6" s="69"/>
      <c r="K6" s="67"/>
      <c r="L6" s="66"/>
      <c r="M6" s="68"/>
      <c r="N6" s="68"/>
      <c r="O6" s="70"/>
      <c r="P6" s="67"/>
      <c r="Q6" s="69"/>
      <c r="R6" s="69"/>
      <c r="S6" s="69"/>
      <c r="T6" s="67"/>
      <c r="U6" s="67"/>
    </row>
    <row r="7" spans="1:21" ht="17.25" customHeight="1" x14ac:dyDescent="0.35">
      <c r="A7" s="64">
        <v>4</v>
      </c>
      <c r="B7" s="65">
        <v>2024</v>
      </c>
      <c r="C7" s="66"/>
      <c r="D7" s="66"/>
      <c r="E7" s="66"/>
      <c r="F7" s="67"/>
      <c r="G7" s="67"/>
      <c r="H7" s="67"/>
      <c r="I7" s="68"/>
      <c r="J7" s="69"/>
      <c r="K7" s="67"/>
      <c r="L7" s="66"/>
      <c r="M7" s="68"/>
      <c r="N7" s="68"/>
      <c r="O7" s="70"/>
      <c r="P7" s="67"/>
      <c r="Q7" s="69"/>
      <c r="R7" s="69"/>
      <c r="S7" s="69"/>
      <c r="T7" s="67"/>
      <c r="U7" s="67"/>
    </row>
    <row r="8" spans="1:21" ht="17.25" customHeight="1" x14ac:dyDescent="0.35">
      <c r="A8" s="64">
        <v>5</v>
      </c>
      <c r="B8" s="65">
        <v>2025</v>
      </c>
      <c r="C8" s="66"/>
      <c r="D8" s="66"/>
      <c r="E8" s="66"/>
      <c r="F8" s="67"/>
      <c r="G8" s="67"/>
      <c r="H8" s="67"/>
      <c r="I8" s="68"/>
      <c r="J8" s="69"/>
      <c r="K8" s="67"/>
      <c r="L8" s="66"/>
      <c r="M8" s="68"/>
      <c r="N8" s="68"/>
      <c r="O8" s="70"/>
      <c r="P8" s="67"/>
      <c r="Q8" s="69"/>
      <c r="R8" s="69"/>
      <c r="S8" s="69"/>
      <c r="T8" s="67"/>
      <c r="U8" s="67"/>
    </row>
    <row r="9" spans="1:21" ht="17.25" customHeight="1" x14ac:dyDescent="0.35">
      <c r="A9" s="64">
        <v>6</v>
      </c>
      <c r="B9" s="65">
        <v>2026</v>
      </c>
      <c r="C9" s="66">
        <f>'New Park Customer Carload Proj.'!F4</f>
        <v>250</v>
      </c>
      <c r="D9" s="66">
        <f>'New Park Customer Carload Proj.'!$H$2</f>
        <v>150.5</v>
      </c>
      <c r="E9" s="66">
        <f>C9*D9*2*'New Park Customer Carload Proj.'!$L$5</f>
        <v>263375</v>
      </c>
      <c r="F9" s="67">
        <f>E9/100000000*11600000*1.46</f>
        <v>44605.189999999995</v>
      </c>
      <c r="G9" s="67">
        <f>E9/100000000*554800*0.047*5.66</f>
        <v>388.70962108999998</v>
      </c>
      <c r="H9" s="67">
        <f>E9/100000000*(14+3.95+1.46)*4500</f>
        <v>230.04489374999997</v>
      </c>
      <c r="I9" s="68">
        <f>E9*57/2</f>
        <v>7506187.5</v>
      </c>
      <c r="J9" s="69">
        <f t="shared" ref="J9:J38" si="0">I9*0.0066*1.1</f>
        <v>54494.921250000007</v>
      </c>
      <c r="K9" s="67">
        <f>I9*0.0085*1.1</f>
        <v>70182.853125000009</v>
      </c>
      <c r="L9" s="66">
        <f>C9*2*'New Park Customer Carload Proj.'!$L$5</f>
        <v>1750</v>
      </c>
      <c r="M9" s="68">
        <f t="shared" ref="M9:M37" si="1">L9*4</f>
        <v>7000</v>
      </c>
      <c r="N9" s="68">
        <f>E9/6.5</f>
        <v>40519.230769230766</v>
      </c>
      <c r="O9" s="70">
        <f>'Truck Elimination (Inbound)'!O9</f>
        <v>4.6500000000000004</v>
      </c>
      <c r="P9" s="67">
        <f t="shared" ref="P9:P37" si="2">O9*N9</f>
        <v>188414.42307692306</v>
      </c>
      <c r="Q9" s="69">
        <f>E9*9.191*0.00220462/2000*16200</f>
        <v>43227.097590426754</v>
      </c>
      <c r="R9" s="69">
        <f>E9*0.215*0.00220462/2000*788100</f>
        <v>49192.408141944376</v>
      </c>
      <c r="S9" s="69">
        <f>E9*0.097*0.00220462/2000*44000</f>
        <v>1239.0895851949999</v>
      </c>
      <c r="T9" s="67">
        <f>F9+G9+H9+J9+K9+P9+Q9+R9+S9</f>
        <v>451974.7372843292</v>
      </c>
      <c r="U9" s="67">
        <f>T9/(1+0.07)^A9</f>
        <v>301169.85155092395</v>
      </c>
    </row>
    <row r="10" spans="1:21" ht="17.25" customHeight="1" x14ac:dyDescent="0.35">
      <c r="A10" s="64">
        <v>7</v>
      </c>
      <c r="B10" s="65">
        <v>2027</v>
      </c>
      <c r="C10" s="66">
        <f>'New Park Customer Carload Proj.'!F5</f>
        <v>257.5</v>
      </c>
      <c r="D10" s="66">
        <f>'New Park Customer Carload Proj.'!$H$2</f>
        <v>150.5</v>
      </c>
      <c r="E10" s="66">
        <f>C10*D10*2*'New Park Customer Carload Proj.'!$L$5</f>
        <v>271276.25</v>
      </c>
      <c r="F10" s="67">
        <f t="shared" ref="F10:F38" si="3">E10/100000000*11600000*1.46</f>
        <v>45943.345699999998</v>
      </c>
      <c r="G10" s="67">
        <f t="shared" ref="G10:G37" si="4">E10/100000000*554800*0.047*5.66</f>
        <v>400.37090972269999</v>
      </c>
      <c r="H10" s="67">
        <f t="shared" ref="H10:H38" si="5">E10/100000000*(14+3.95+1.46)*4500</f>
        <v>236.94624056249998</v>
      </c>
      <c r="I10" s="68">
        <f t="shared" ref="I10:I38" si="6">E10*57/2</f>
        <v>7731373.125</v>
      </c>
      <c r="J10" s="69">
        <f t="shared" si="0"/>
        <v>56129.768887500002</v>
      </c>
      <c r="K10" s="67">
        <f t="shared" ref="K10:K38" si="7">I10*0.0085*1.1</f>
        <v>72288.338718750019</v>
      </c>
      <c r="L10" s="66">
        <f>C10*2*'New Park Customer Carload Proj.'!$L$5</f>
        <v>1802.5</v>
      </c>
      <c r="M10" s="68">
        <f t="shared" si="1"/>
        <v>7210</v>
      </c>
      <c r="N10" s="68">
        <f t="shared" ref="N10:N38" si="8">E10/6.5</f>
        <v>41734.807692307695</v>
      </c>
      <c r="O10" s="70">
        <f>'Truck Elimination (Inbound)'!O10</f>
        <v>4.6500000000000004</v>
      </c>
      <c r="P10" s="67">
        <f t="shared" si="2"/>
        <v>194066.85576923081</v>
      </c>
      <c r="Q10" s="69">
        <f>E10*9.191*0.00220462/2000*16500</f>
        <v>45348.427379586588</v>
      </c>
      <c r="R10" s="69">
        <f>E10*0.215*0.00220462/2000*801700</f>
        <v>51542.545635856754</v>
      </c>
      <c r="S10" s="69">
        <f>E10*0.097*0.00220462/2000*44900</f>
        <v>1302.3676374207537</v>
      </c>
      <c r="T10" s="67">
        <f t="shared" ref="T10:T37" si="9">F10+G10+H10+K10+P10+Q10+R10+S10</f>
        <v>411129.19799113012</v>
      </c>
      <c r="U10" s="67">
        <f t="shared" ref="U10:U37" si="10">T10/(1+0.07)^A10</f>
        <v>256030.60193019523</v>
      </c>
    </row>
    <row r="11" spans="1:21" ht="17.25" customHeight="1" x14ac:dyDescent="0.35">
      <c r="A11" s="64">
        <v>8</v>
      </c>
      <c r="B11" s="65">
        <v>2028</v>
      </c>
      <c r="C11" s="66">
        <f>'New Park Customer Carload Proj.'!F6</f>
        <v>265.22500000000002</v>
      </c>
      <c r="D11" s="66">
        <f>'New Park Customer Carload Proj.'!$H$2</f>
        <v>150.5</v>
      </c>
      <c r="E11" s="66">
        <f>C11*D11*2*'New Park Customer Carload Proj.'!$L$5</f>
        <v>279414.53750000003</v>
      </c>
      <c r="F11" s="67">
        <f t="shared" si="3"/>
        <v>47321.646071000003</v>
      </c>
      <c r="G11" s="67">
        <f t="shared" si="4"/>
        <v>412.38203701438101</v>
      </c>
      <c r="H11" s="67">
        <f t="shared" si="5"/>
        <v>244.05462777937504</v>
      </c>
      <c r="I11" s="68">
        <f t="shared" si="6"/>
        <v>7963314.3187500006</v>
      </c>
      <c r="J11" s="69">
        <f t="shared" si="0"/>
        <v>57813.661954125011</v>
      </c>
      <c r="K11" s="67">
        <f t="shared" si="7"/>
        <v>74456.988880312507</v>
      </c>
      <c r="L11" s="66">
        <f>C11*2*'New Park Customer Carload Proj.'!$L$5</f>
        <v>1856.5750000000003</v>
      </c>
      <c r="M11" s="68">
        <f t="shared" si="1"/>
        <v>7426.3000000000011</v>
      </c>
      <c r="N11" s="68">
        <f t="shared" si="8"/>
        <v>42986.851923076931</v>
      </c>
      <c r="O11" s="70">
        <f>'Truck Elimination (Inbound)'!O11</f>
        <v>4.6500000000000004</v>
      </c>
      <c r="P11" s="67">
        <f t="shared" si="2"/>
        <v>199888.86144230774</v>
      </c>
      <c r="Q11" s="69">
        <f>E11*9.191*0.00220462/2000*16800</f>
        <v>47558.132568264627</v>
      </c>
      <c r="R11" s="69">
        <f>E11*0.215*0.00220462/2000*814500</f>
        <v>53936.441964597085</v>
      </c>
      <c r="S11" s="69">
        <f>E11*0.097*0.00220462/2000*45700</f>
        <v>1365.3395781967108</v>
      </c>
      <c r="T11" s="67">
        <f t="shared" si="9"/>
        <v>425183.84716947243</v>
      </c>
      <c r="U11" s="67">
        <f t="shared" si="10"/>
        <v>247460.8701666228</v>
      </c>
    </row>
    <row r="12" spans="1:21" ht="17.25" customHeight="1" x14ac:dyDescent="0.35">
      <c r="A12" s="64">
        <v>9</v>
      </c>
      <c r="B12" s="65">
        <v>2029</v>
      </c>
      <c r="C12" s="66">
        <f>'New Park Customer Carload Proj.'!F7</f>
        <v>523.18174999999997</v>
      </c>
      <c r="D12" s="66">
        <f>'New Park Customer Carload Proj.'!$H$2</f>
        <v>150.5</v>
      </c>
      <c r="E12" s="66">
        <f>C12*D12*2*'New Park Customer Carload Proj.'!$L$5</f>
        <v>551171.97362499998</v>
      </c>
      <c r="F12" s="67">
        <f t="shared" si="3"/>
        <v>93346.485453130008</v>
      </c>
      <c r="G12" s="67">
        <f t="shared" si="4"/>
        <v>813.46311921481254</v>
      </c>
      <c r="H12" s="67">
        <f t="shared" si="5"/>
        <v>481.42116036275627</v>
      </c>
      <c r="I12" s="68">
        <f t="shared" si="6"/>
        <v>15708401.248312499</v>
      </c>
      <c r="J12" s="69">
        <f t="shared" si="0"/>
        <v>114042.99306274875</v>
      </c>
      <c r="K12" s="67">
        <f t="shared" si="7"/>
        <v>146873.55167172189</v>
      </c>
      <c r="L12" s="66">
        <f>C12*2*'New Park Customer Carload Proj.'!$L$5</f>
        <v>3662.27225</v>
      </c>
      <c r="M12" s="68">
        <f t="shared" si="1"/>
        <v>14649.089</v>
      </c>
      <c r="N12" s="68">
        <f t="shared" si="8"/>
        <v>84795.688249999992</v>
      </c>
      <c r="O12" s="70">
        <f>'Truck Elimination (Inbound)'!O12</f>
        <v>4.6500000000000004</v>
      </c>
      <c r="P12" s="67">
        <f t="shared" si="2"/>
        <v>394299.95036249998</v>
      </c>
      <c r="Q12" s="69">
        <f>E12*9.191*0.00220462/2000*17100</f>
        <v>95488.209495738847</v>
      </c>
      <c r="R12" s="69">
        <f>E12*0.215*0.00220462/2000*827400</f>
        <v>108079.87902866125</v>
      </c>
      <c r="S12" s="69">
        <f>E12*0.097*0.00220462/2000*46500</f>
        <v>2740.4101070811707</v>
      </c>
      <c r="T12" s="67">
        <f t="shared" si="9"/>
        <v>842123.37039841083</v>
      </c>
      <c r="U12" s="67">
        <f t="shared" si="10"/>
        <v>458059.31657838431</v>
      </c>
    </row>
    <row r="13" spans="1:21" ht="17.25" customHeight="1" x14ac:dyDescent="0.35">
      <c r="A13" s="64">
        <v>10</v>
      </c>
      <c r="B13" s="65">
        <v>2030</v>
      </c>
      <c r="C13" s="66">
        <f>'New Park Customer Carload Proj.'!F8</f>
        <v>538.87720249999995</v>
      </c>
      <c r="D13" s="66">
        <f>'New Park Customer Carload Proj.'!$H$2</f>
        <v>150.5</v>
      </c>
      <c r="E13" s="66">
        <f>C13*D13*2*'New Park Customer Carload Proj.'!$L$5</f>
        <v>567707.13283374999</v>
      </c>
      <c r="F13" s="67">
        <f t="shared" si="3"/>
        <v>96146.880016723895</v>
      </c>
      <c r="G13" s="67">
        <f t="shared" si="4"/>
        <v>837.86701279125691</v>
      </c>
      <c r="H13" s="67">
        <f t="shared" si="5"/>
        <v>495.86379517363895</v>
      </c>
      <c r="I13" s="68">
        <f t="shared" si="6"/>
        <v>16179653.285761874</v>
      </c>
      <c r="J13" s="69">
        <f t="shared" si="0"/>
        <v>117464.28285463122</v>
      </c>
      <c r="K13" s="67">
        <f t="shared" si="7"/>
        <v>151279.75822187355</v>
      </c>
      <c r="L13" s="66">
        <f>C13*2*'New Park Customer Carload Proj.'!$L$5</f>
        <v>3772.1404174999998</v>
      </c>
      <c r="M13" s="68">
        <f t="shared" si="1"/>
        <v>15088.561669999999</v>
      </c>
      <c r="N13" s="68">
        <f t="shared" si="8"/>
        <v>87339.558897499999</v>
      </c>
      <c r="O13" s="70">
        <f>'Truck Elimination (Inbound)'!O13</f>
        <v>4.6500000000000004</v>
      </c>
      <c r="P13" s="67">
        <f t="shared" si="2"/>
        <v>406128.94887337502</v>
      </c>
      <c r="Q13" s="69">
        <f>E13*9.191*0.00220462/2000*17400</f>
        <v>100078.34447851648</v>
      </c>
      <c r="R13" s="69">
        <f>E13*0.215*0.00220462/2000*840600</f>
        <v>113098.26528986877</v>
      </c>
      <c r="S13" s="69">
        <f>E13*0.097*0.00220462/2000*47300</f>
        <v>2871.1836560620982</v>
      </c>
      <c r="T13" s="67">
        <f t="shared" si="9"/>
        <v>870937.11134438484</v>
      </c>
      <c r="U13" s="67">
        <f t="shared" si="10"/>
        <v>442740.26404577395</v>
      </c>
    </row>
    <row r="14" spans="1:21" ht="17.25" customHeight="1" x14ac:dyDescent="0.35">
      <c r="A14" s="64">
        <v>11</v>
      </c>
      <c r="B14" s="65">
        <v>2031</v>
      </c>
      <c r="C14" s="66">
        <f>'New Park Customer Carload Proj.'!F9</f>
        <v>555.04351857500001</v>
      </c>
      <c r="D14" s="66">
        <f>'New Park Customer Carload Proj.'!$H$2</f>
        <v>150.5</v>
      </c>
      <c r="E14" s="66">
        <f>C14*D14*2*'New Park Customer Carload Proj.'!$L$5</f>
        <v>584738.3468187626</v>
      </c>
      <c r="F14" s="67">
        <f t="shared" si="3"/>
        <v>99031.286417225638</v>
      </c>
      <c r="G14" s="67">
        <f t="shared" si="4"/>
        <v>863.00302317499472</v>
      </c>
      <c r="H14" s="67">
        <f t="shared" si="5"/>
        <v>510.73970902884821</v>
      </c>
      <c r="I14" s="68">
        <f t="shared" si="6"/>
        <v>16665042.884334734</v>
      </c>
      <c r="J14" s="69">
        <f t="shared" si="0"/>
        <v>120988.21134027017</v>
      </c>
      <c r="K14" s="67">
        <f t="shared" si="7"/>
        <v>155818.15096852978</v>
      </c>
      <c r="L14" s="66">
        <f>C14*2*'New Park Customer Carload Proj.'!$L$5</f>
        <v>3885.3046300249998</v>
      </c>
      <c r="M14" s="68">
        <f t="shared" si="1"/>
        <v>15541.218520099999</v>
      </c>
      <c r="N14" s="68">
        <f t="shared" si="8"/>
        <v>89959.74566442502</v>
      </c>
      <c r="O14" s="70">
        <f>'Truck Elimination (Inbound)'!O14</f>
        <v>4.6500000000000004</v>
      </c>
      <c r="P14" s="67">
        <f t="shared" si="2"/>
        <v>418312.81733957637</v>
      </c>
      <c r="Q14" s="69">
        <f>E14*9.191*0.00220462/2000*17700</f>
        <v>104857.9481717146</v>
      </c>
      <c r="R14" s="69">
        <f>E14*0.215*0.00220462/2000*854000</f>
        <v>118348.1990414875</v>
      </c>
      <c r="S14" s="69">
        <f>E14*0.097*0.00220462/2000*48200</f>
        <v>3013.5895092782021</v>
      </c>
      <c r="T14" s="67">
        <f t="shared" si="9"/>
        <v>900755.73418001598</v>
      </c>
      <c r="U14" s="67">
        <f t="shared" si="10"/>
        <v>427942.56061373744</v>
      </c>
    </row>
    <row r="15" spans="1:21" ht="17.25" customHeight="1" x14ac:dyDescent="0.35">
      <c r="A15" s="64">
        <v>12</v>
      </c>
      <c r="B15" s="65">
        <v>2032</v>
      </c>
      <c r="C15" s="66">
        <f>'New Park Customer Carload Proj.'!F10</f>
        <v>821.69482413225001</v>
      </c>
      <c r="D15" s="66">
        <f>'New Park Customer Carload Proj.'!$H$2</f>
        <v>150.5</v>
      </c>
      <c r="E15" s="66">
        <f>C15*D15*2*'New Park Customer Carload Proj.'!$L$5</f>
        <v>865655.49722332542</v>
      </c>
      <c r="F15" s="67">
        <f t="shared" si="3"/>
        <v>146607.4150097424</v>
      </c>
      <c r="G15" s="67">
        <f t="shared" si="4"/>
        <v>1277.6027349602446</v>
      </c>
      <c r="H15" s="67">
        <f t="shared" si="5"/>
        <v>756.1067940497137</v>
      </c>
      <c r="I15" s="68">
        <f t="shared" si="6"/>
        <v>24671181.670864776</v>
      </c>
      <c r="J15" s="69">
        <f t="shared" si="0"/>
        <v>179112.77893047829</v>
      </c>
      <c r="K15" s="67">
        <f t="shared" si="7"/>
        <v>230675.54862258569</v>
      </c>
      <c r="L15" s="66">
        <f>C15*2*'New Park Customer Carload Proj.'!$L$5</f>
        <v>5751.8637689257503</v>
      </c>
      <c r="M15" s="68">
        <f t="shared" si="1"/>
        <v>23007.455075703001</v>
      </c>
      <c r="N15" s="68">
        <f t="shared" si="8"/>
        <v>133177.76880358852</v>
      </c>
      <c r="O15" s="70">
        <f>'Truck Elimination (Inbound)'!O15</f>
        <v>4.6500000000000004</v>
      </c>
      <c r="P15" s="67">
        <f t="shared" si="2"/>
        <v>619276.62493668671</v>
      </c>
      <c r="Q15" s="69">
        <f>E15*9.191*0.00220462/2000*18100</f>
        <v>158741.39026589409</v>
      </c>
      <c r="R15" s="69">
        <f>E15*0.215*0.00220462/2000*867600</f>
        <v>177994.60613258037</v>
      </c>
      <c r="S15" s="69">
        <f>E15*0.097*0.00220462/2000*49100</f>
        <v>4544.6669809666901</v>
      </c>
      <c r="T15" s="67">
        <f t="shared" si="9"/>
        <v>1339873.9614774659</v>
      </c>
      <c r="U15" s="67">
        <f t="shared" si="10"/>
        <v>594920.06277125515</v>
      </c>
    </row>
    <row r="16" spans="1:21" ht="17.25" customHeight="1" x14ac:dyDescent="0.35">
      <c r="A16" s="64">
        <v>13</v>
      </c>
      <c r="B16" s="65">
        <v>2033</v>
      </c>
      <c r="C16" s="66">
        <f>'New Park Customer Carload Proj.'!F11</f>
        <v>846.34566885621757</v>
      </c>
      <c r="D16" s="66">
        <f>'New Park Customer Carload Proj.'!$H$2</f>
        <v>150.5</v>
      </c>
      <c r="E16" s="66">
        <f>C16*D16*2*'New Park Customer Carload Proj.'!$L$5</f>
        <v>891625.16214002518</v>
      </c>
      <c r="F16" s="67">
        <f t="shared" si="3"/>
        <v>151005.63746003466</v>
      </c>
      <c r="G16" s="67">
        <f t="shared" si="4"/>
        <v>1315.9308170090519</v>
      </c>
      <c r="H16" s="67">
        <f t="shared" si="5"/>
        <v>778.78999787120506</v>
      </c>
      <c r="I16" s="68">
        <f t="shared" si="6"/>
        <v>25411317.120990716</v>
      </c>
      <c r="J16" s="69">
        <f t="shared" si="0"/>
        <v>184486.16229839262</v>
      </c>
      <c r="K16" s="67">
        <f t="shared" si="7"/>
        <v>237595.81508126325</v>
      </c>
      <c r="L16" s="66">
        <f>C16*2*'New Park Customer Carload Proj.'!$L$5</f>
        <v>5924.4196819935232</v>
      </c>
      <c r="M16" s="68">
        <f t="shared" si="1"/>
        <v>23697.678727974093</v>
      </c>
      <c r="N16" s="68">
        <f t="shared" si="8"/>
        <v>137173.10186769618</v>
      </c>
      <c r="O16" s="70">
        <f>'Truck Elimination (Inbound)'!O16</f>
        <v>4.6500000000000004</v>
      </c>
      <c r="P16" s="67">
        <f t="shared" si="2"/>
        <v>637854.92368478735</v>
      </c>
      <c r="Q16" s="69">
        <f t="shared" ref="Q16:Q37" si="11">E16*9.191*0.00220462/2000*18100</f>
        <v>163503.63197387094</v>
      </c>
      <c r="R16" s="69">
        <f t="shared" ref="R16:R37" si="12">E16*0.215*0.00220462/2000*867600</f>
        <v>183334.44431655778</v>
      </c>
      <c r="S16" s="69">
        <f t="shared" ref="S16:S37" si="13">E16*0.097*0.00220462/2000*49100</f>
        <v>4681.006990395691</v>
      </c>
      <c r="T16" s="67">
        <f t="shared" si="9"/>
        <v>1380070.18032179</v>
      </c>
      <c r="U16" s="67">
        <f t="shared" si="10"/>
        <v>572680.06042466615</v>
      </c>
    </row>
    <row r="17" spans="1:21" ht="17.25" customHeight="1" x14ac:dyDescent="0.35">
      <c r="A17" s="64">
        <v>14</v>
      </c>
      <c r="B17" s="65">
        <v>2034</v>
      </c>
      <c r="C17" s="66">
        <f>'New Park Customer Carload Proj.'!F12</f>
        <v>871.73603892190408</v>
      </c>
      <c r="D17" s="66">
        <f>'New Park Customer Carload Proj.'!$H$2</f>
        <v>150.5</v>
      </c>
      <c r="E17" s="66">
        <f>C17*D17*2*'New Park Customer Carload Proj.'!$L$5</f>
        <v>918373.91700422601</v>
      </c>
      <c r="F17" s="67">
        <f t="shared" si="3"/>
        <v>155535.80658383571</v>
      </c>
      <c r="G17" s="67">
        <f t="shared" si="4"/>
        <v>1355.4087415193233</v>
      </c>
      <c r="H17" s="67">
        <f t="shared" si="5"/>
        <v>802.15369780734125</v>
      </c>
      <c r="I17" s="68">
        <f t="shared" si="6"/>
        <v>26173656.634620443</v>
      </c>
      <c r="J17" s="69">
        <f t="shared" si="0"/>
        <v>190020.74716734444</v>
      </c>
      <c r="K17" s="67">
        <f t="shared" si="7"/>
        <v>244723.6895337012</v>
      </c>
      <c r="L17" s="66">
        <f>C17*2*'New Park Customer Carload Proj.'!$L$5</f>
        <v>6102.1522724533288</v>
      </c>
      <c r="M17" s="68">
        <f t="shared" si="1"/>
        <v>24408.609089813315</v>
      </c>
      <c r="N17" s="68">
        <f t="shared" si="8"/>
        <v>141288.29492372708</v>
      </c>
      <c r="O17" s="70">
        <f>'Truck Elimination (Inbound)'!O17</f>
        <v>4.6500000000000004</v>
      </c>
      <c r="P17" s="67">
        <f t="shared" si="2"/>
        <v>656990.57139533095</v>
      </c>
      <c r="Q17" s="69">
        <f t="shared" si="11"/>
        <v>168408.74093308707</v>
      </c>
      <c r="R17" s="69">
        <f t="shared" si="12"/>
        <v>188834.47764605455</v>
      </c>
      <c r="S17" s="69">
        <f t="shared" si="13"/>
        <v>4821.4372001075617</v>
      </c>
      <c r="T17" s="67">
        <f t="shared" si="9"/>
        <v>1421472.2857314439</v>
      </c>
      <c r="U17" s="67">
        <f t="shared" si="10"/>
        <v>551271.46003495913</v>
      </c>
    </row>
    <row r="18" spans="1:21" ht="17.25" customHeight="1" x14ac:dyDescent="0.35">
      <c r="A18" s="64">
        <v>15</v>
      </c>
      <c r="B18" s="65">
        <v>2035</v>
      </c>
      <c r="C18" s="66">
        <f>'New Park Customer Carload Proj.'!F13</f>
        <v>1147.8881200895612</v>
      </c>
      <c r="D18" s="66">
        <f>'New Park Customer Carload Proj.'!$H$2</f>
        <v>150.5</v>
      </c>
      <c r="E18" s="66">
        <f>C18*D18*2*'New Park Customer Carload Proj.'!$L$5</f>
        <v>1209300.1345143525</v>
      </c>
      <c r="F18" s="67">
        <f t="shared" si="3"/>
        <v>204807.07078135075</v>
      </c>
      <c r="G18" s="67">
        <f t="shared" si="4"/>
        <v>1784.780624854903</v>
      </c>
      <c r="H18" s="67">
        <f t="shared" si="5"/>
        <v>1056.2632024915613</v>
      </c>
      <c r="I18" s="68">
        <f t="shared" si="6"/>
        <v>34465053.833659045</v>
      </c>
      <c r="J18" s="69">
        <f t="shared" si="0"/>
        <v>250216.29083236467</v>
      </c>
      <c r="K18" s="67">
        <f t="shared" si="7"/>
        <v>322248.25334471214</v>
      </c>
      <c r="L18" s="66">
        <f>C18*2*'New Park Customer Carload Proj.'!$L$5</f>
        <v>8035.2168406269284</v>
      </c>
      <c r="M18" s="68">
        <f t="shared" si="1"/>
        <v>32140.867362507714</v>
      </c>
      <c r="N18" s="68">
        <f t="shared" si="8"/>
        <v>186046.17454066963</v>
      </c>
      <c r="O18" s="70">
        <f>'Truck Elimination (Inbound)'!O18</f>
        <v>4.6500000000000004</v>
      </c>
      <c r="P18" s="67">
        <f t="shared" si="2"/>
        <v>865114.71161411388</v>
      </c>
      <c r="Q18" s="69">
        <f t="shared" si="11"/>
        <v>221757.9455306305</v>
      </c>
      <c r="R18" s="69">
        <f t="shared" si="12"/>
        <v>248654.23003653358</v>
      </c>
      <c r="S18" s="69">
        <f t="shared" si="13"/>
        <v>6348.7916486806635</v>
      </c>
      <c r="T18" s="67">
        <f t="shared" si="9"/>
        <v>1871772.0467833679</v>
      </c>
      <c r="U18" s="67">
        <f t="shared" si="10"/>
        <v>678416.32803446427</v>
      </c>
    </row>
    <row r="19" spans="1:21" ht="17.25" customHeight="1" x14ac:dyDescent="0.35">
      <c r="A19" s="64">
        <v>16</v>
      </c>
      <c r="B19" s="65">
        <v>2036</v>
      </c>
      <c r="C19" s="66">
        <f>'New Park Customer Carload Proj.'!F14</f>
        <v>1182.3247636922481</v>
      </c>
      <c r="D19" s="66">
        <f>'New Park Customer Carload Proj.'!$H$2</f>
        <v>150.5</v>
      </c>
      <c r="E19" s="66">
        <f>C19*D19*2*'New Park Customer Carload Proj.'!$L$5</f>
        <v>1245579.1385497833</v>
      </c>
      <c r="F19" s="67">
        <f t="shared" si="3"/>
        <v>210951.28290479127</v>
      </c>
      <c r="G19" s="67">
        <f t="shared" si="4"/>
        <v>1838.3240436005501</v>
      </c>
      <c r="H19" s="67">
        <f t="shared" si="5"/>
        <v>1087.951098566308</v>
      </c>
      <c r="I19" s="68">
        <f t="shared" si="6"/>
        <v>35499005.448668823</v>
      </c>
      <c r="J19" s="69">
        <f t="shared" si="0"/>
        <v>257722.77955733566</v>
      </c>
      <c r="K19" s="67">
        <f t="shared" si="7"/>
        <v>331915.70094505354</v>
      </c>
      <c r="L19" s="66">
        <f>C19*2*'New Park Customer Carload Proj.'!$L$5</f>
        <v>8276.2733458457369</v>
      </c>
      <c r="M19" s="68">
        <f t="shared" si="1"/>
        <v>33105.093383382948</v>
      </c>
      <c r="N19" s="68">
        <f t="shared" si="8"/>
        <v>191627.55977688974</v>
      </c>
      <c r="O19" s="70">
        <f>'Truck Elimination (Inbound)'!O19</f>
        <v>4.6500000000000004</v>
      </c>
      <c r="P19" s="67">
        <f t="shared" si="2"/>
        <v>891068.15296253737</v>
      </c>
      <c r="Q19" s="69">
        <f t="shared" si="11"/>
        <v>228410.68389654945</v>
      </c>
      <c r="R19" s="69">
        <f t="shared" si="12"/>
        <v>256113.85693762967</v>
      </c>
      <c r="S19" s="69">
        <f t="shared" si="13"/>
        <v>6539.2553981410838</v>
      </c>
      <c r="T19" s="67">
        <f t="shared" si="9"/>
        <v>1927925.2081868693</v>
      </c>
      <c r="U19" s="67">
        <f t="shared" si="10"/>
        <v>653054.96997710143</v>
      </c>
    </row>
    <row r="20" spans="1:21" ht="17.25" customHeight="1" x14ac:dyDescent="0.35">
      <c r="A20" s="64">
        <v>17</v>
      </c>
      <c r="B20" s="65">
        <v>2037</v>
      </c>
      <c r="C20" s="66">
        <f>'New Park Customer Carload Proj.'!F15</f>
        <v>1217.7945066030156</v>
      </c>
      <c r="D20" s="66">
        <f>'New Park Customer Carload Proj.'!$H$2</f>
        <v>150.5</v>
      </c>
      <c r="E20" s="66">
        <f>C20*D20*2*'New Park Customer Carload Proj.'!$L$5</f>
        <v>1282946.512706277</v>
      </c>
      <c r="F20" s="67">
        <f t="shared" si="3"/>
        <v>217279.82139193505</v>
      </c>
      <c r="G20" s="67">
        <f t="shared" si="4"/>
        <v>1893.4737649085671</v>
      </c>
      <c r="H20" s="67">
        <f t="shared" si="5"/>
        <v>1120.5896315232976</v>
      </c>
      <c r="I20" s="68">
        <f t="shared" si="6"/>
        <v>36563975.612128891</v>
      </c>
      <c r="J20" s="69">
        <f t="shared" si="0"/>
        <v>265454.46294405579</v>
      </c>
      <c r="K20" s="67">
        <f t="shared" si="7"/>
        <v>341873.17197340517</v>
      </c>
      <c r="L20" s="66">
        <f>C20*2*'New Park Customer Carload Proj.'!$L$5</f>
        <v>8524.5615462211099</v>
      </c>
      <c r="M20" s="68">
        <f t="shared" si="1"/>
        <v>34098.24618488444</v>
      </c>
      <c r="N20" s="68">
        <f t="shared" si="8"/>
        <v>197376.38657019645</v>
      </c>
      <c r="O20" s="70">
        <f>'Truck Elimination (Inbound)'!O20</f>
        <v>4.6500000000000004</v>
      </c>
      <c r="P20" s="67">
        <f t="shared" si="2"/>
        <v>917800.19755141356</v>
      </c>
      <c r="Q20" s="69">
        <f t="shared" si="11"/>
        <v>235263.00441344597</v>
      </c>
      <c r="R20" s="69">
        <f t="shared" si="12"/>
        <v>263797.27264575864</v>
      </c>
      <c r="S20" s="69">
        <f t="shared" si="13"/>
        <v>6735.4330600853173</v>
      </c>
      <c r="T20" s="67">
        <f t="shared" si="9"/>
        <v>1985762.9644324759</v>
      </c>
      <c r="U20" s="67">
        <f t="shared" si="10"/>
        <v>628641.70007141551</v>
      </c>
    </row>
    <row r="21" spans="1:21" ht="17.25" customHeight="1" x14ac:dyDescent="0.35">
      <c r="A21" s="64">
        <v>18</v>
      </c>
      <c r="B21" s="65">
        <v>2038</v>
      </c>
      <c r="C21" s="66">
        <f>'New Park Customer Carload Proj.'!F16</f>
        <v>1504.328341801106</v>
      </c>
      <c r="D21" s="66">
        <f>'New Park Customer Carload Proj.'!$H$2</f>
        <v>150.5</v>
      </c>
      <c r="E21" s="66">
        <f>C21*D21*2*'New Park Customer Carload Proj.'!$L$5</f>
        <v>1584809.9080874652</v>
      </c>
      <c r="F21" s="67">
        <f t="shared" si="3"/>
        <v>268403.40603369311</v>
      </c>
      <c r="G21" s="67">
        <f t="shared" si="4"/>
        <v>2338.9875989458242</v>
      </c>
      <c r="H21" s="67">
        <f t="shared" si="5"/>
        <v>1384.2522142189964</v>
      </c>
      <c r="I21" s="68">
        <f t="shared" si="6"/>
        <v>45167082.380492762</v>
      </c>
      <c r="J21" s="69">
        <f t="shared" si="0"/>
        <v>327913.0180823775</v>
      </c>
      <c r="K21" s="67">
        <f t="shared" si="7"/>
        <v>422312.22025760741</v>
      </c>
      <c r="L21" s="66">
        <f>C21*2*'New Park Customer Carload Proj.'!$L$5</f>
        <v>10530.298392607743</v>
      </c>
      <c r="M21" s="68">
        <f t="shared" si="1"/>
        <v>42121.193570430973</v>
      </c>
      <c r="N21" s="68">
        <f t="shared" si="8"/>
        <v>243816.90893653312</v>
      </c>
      <c r="O21" s="70">
        <f>'Truck Elimination (Inbound)'!O21</f>
        <v>4.6500000000000004</v>
      </c>
      <c r="P21" s="67">
        <f t="shared" si="2"/>
        <v>1133748.6265548791</v>
      </c>
      <c r="Q21" s="69">
        <f t="shared" si="11"/>
        <v>290617.83691540023</v>
      </c>
      <c r="R21" s="69">
        <f t="shared" si="12"/>
        <v>325865.90888622886</v>
      </c>
      <c r="S21" s="69">
        <f t="shared" si="13"/>
        <v>8320.2073844577499</v>
      </c>
      <c r="T21" s="67">
        <f t="shared" si="9"/>
        <v>2452991.4458454312</v>
      </c>
      <c r="U21" s="67">
        <f t="shared" si="10"/>
        <v>725751.65587120899</v>
      </c>
    </row>
    <row r="22" spans="1:21" ht="17.25" customHeight="1" x14ac:dyDescent="0.35">
      <c r="A22" s="64">
        <v>19</v>
      </c>
      <c r="B22" s="65">
        <v>2039</v>
      </c>
      <c r="C22" s="66">
        <f>'New Park Customer Carload Proj.'!F17</f>
        <v>1549.4581920551393</v>
      </c>
      <c r="D22" s="66">
        <f>'New Park Customer Carload Proj.'!$H$2</f>
        <v>150.5</v>
      </c>
      <c r="E22" s="66">
        <f>C22*D22*2*'New Park Customer Carload Proj.'!$L$5</f>
        <v>1632354.2053300892</v>
      </c>
      <c r="F22" s="67">
        <f t="shared" si="3"/>
        <v>276455.50821470388</v>
      </c>
      <c r="G22" s="67">
        <f t="shared" si="4"/>
        <v>2409.1572269141984</v>
      </c>
      <c r="H22" s="67">
        <f t="shared" si="5"/>
        <v>1425.7797806455665</v>
      </c>
      <c r="I22" s="68">
        <f t="shared" si="6"/>
        <v>46522094.851907544</v>
      </c>
      <c r="J22" s="69">
        <f t="shared" si="0"/>
        <v>337750.40862484882</v>
      </c>
      <c r="K22" s="67">
        <f t="shared" si="7"/>
        <v>434981.58686533559</v>
      </c>
      <c r="L22" s="66">
        <f>C22*2*'New Park Customer Carload Proj.'!$L$5</f>
        <v>10846.207344385975</v>
      </c>
      <c r="M22" s="68">
        <f t="shared" si="1"/>
        <v>43384.829377543902</v>
      </c>
      <c r="N22" s="68">
        <f t="shared" si="8"/>
        <v>251131.41620462912</v>
      </c>
      <c r="O22" s="70">
        <f>'Truck Elimination (Inbound)'!O22</f>
        <v>4.6500000000000004</v>
      </c>
      <c r="P22" s="67">
        <f t="shared" si="2"/>
        <v>1167761.0853515256</v>
      </c>
      <c r="Q22" s="69">
        <f t="shared" si="11"/>
        <v>299336.37202286226</v>
      </c>
      <c r="R22" s="69">
        <f t="shared" si="12"/>
        <v>335641.88615281571</v>
      </c>
      <c r="S22" s="69">
        <f t="shared" si="13"/>
        <v>8569.8136059914832</v>
      </c>
      <c r="T22" s="67">
        <f t="shared" si="9"/>
        <v>2526581.189220794</v>
      </c>
      <c r="U22" s="67">
        <f t="shared" si="10"/>
        <v>698620.75284798618</v>
      </c>
    </row>
    <row r="23" spans="1:21" ht="17.25" customHeight="1" x14ac:dyDescent="0.35">
      <c r="A23" s="64">
        <v>20</v>
      </c>
      <c r="B23" s="65">
        <v>2040</v>
      </c>
      <c r="C23" s="66">
        <f>'New Park Customer Carload Proj.'!F18</f>
        <v>1595.9419378167936</v>
      </c>
      <c r="D23" s="66">
        <f>'New Park Customer Carload Proj.'!$H$2</f>
        <v>150.5</v>
      </c>
      <c r="E23" s="66">
        <f>C23*D23*2*'New Park Customer Carload Proj.'!$L$5</f>
        <v>1681324.8314899921</v>
      </c>
      <c r="F23" s="67">
        <f t="shared" si="3"/>
        <v>284749.17346114508</v>
      </c>
      <c r="G23" s="67">
        <f t="shared" si="4"/>
        <v>2481.4319437216245</v>
      </c>
      <c r="H23" s="67">
        <f t="shared" si="5"/>
        <v>1468.5531740649335</v>
      </c>
      <c r="I23" s="68">
        <f t="shared" si="6"/>
        <v>47917757.697464772</v>
      </c>
      <c r="J23" s="69">
        <f t="shared" si="0"/>
        <v>347882.92088359426</v>
      </c>
      <c r="K23" s="67">
        <f t="shared" si="7"/>
        <v>448031.03447129566</v>
      </c>
      <c r="L23" s="66">
        <f>C23*2*'New Park Customer Carload Proj.'!$L$5</f>
        <v>11171.593564717556</v>
      </c>
      <c r="M23" s="68">
        <f t="shared" si="1"/>
        <v>44686.374258870223</v>
      </c>
      <c r="N23" s="68">
        <f t="shared" si="8"/>
        <v>258665.35869076801</v>
      </c>
      <c r="O23" s="70">
        <f>'Truck Elimination (Inbound)'!O23</f>
        <v>4.6500000000000004</v>
      </c>
      <c r="P23" s="67">
        <f t="shared" si="2"/>
        <v>1202793.9179120713</v>
      </c>
      <c r="Q23" s="69">
        <f t="shared" si="11"/>
        <v>308316.46318354813</v>
      </c>
      <c r="R23" s="69">
        <f t="shared" si="12"/>
        <v>345711.14273740019</v>
      </c>
      <c r="S23" s="69">
        <f t="shared" si="13"/>
        <v>8826.9080141712275</v>
      </c>
      <c r="T23" s="67">
        <f t="shared" si="9"/>
        <v>2602378.6248974185</v>
      </c>
      <c r="U23" s="67">
        <f t="shared" si="10"/>
        <v>672504.08919011778</v>
      </c>
    </row>
    <row r="24" spans="1:21" ht="17.25" customHeight="1" x14ac:dyDescent="0.35">
      <c r="A24" s="64">
        <v>21</v>
      </c>
      <c r="B24" s="65">
        <v>2041</v>
      </c>
      <c r="C24" s="66">
        <f>'New Park Customer Carload Proj.'!F19</f>
        <v>1893.8201959512974</v>
      </c>
      <c r="D24" s="66">
        <f>'New Park Customer Carload Proj.'!$H$2</f>
        <v>150.5</v>
      </c>
      <c r="E24" s="66">
        <f>C24*D24*2*'New Park Customer Carload Proj.'!$L$5</f>
        <v>1995139.5764346919</v>
      </c>
      <c r="F24" s="67">
        <f t="shared" si="3"/>
        <v>337896.83866497944</v>
      </c>
      <c r="G24" s="67">
        <f t="shared" si="4"/>
        <v>2944.5845231232738</v>
      </c>
      <c r="H24" s="67">
        <f t="shared" si="5"/>
        <v>1742.6546630368816</v>
      </c>
      <c r="I24" s="68">
        <f t="shared" si="6"/>
        <v>56861477.928388722</v>
      </c>
      <c r="J24" s="69">
        <f t="shared" si="0"/>
        <v>412814.32976010215</v>
      </c>
      <c r="K24" s="67">
        <f t="shared" si="7"/>
        <v>531654.81863043469</v>
      </c>
      <c r="L24" s="66">
        <f>C24*2*'New Park Customer Carload Proj.'!$L$5</f>
        <v>13256.741371659082</v>
      </c>
      <c r="M24" s="68">
        <f t="shared" si="1"/>
        <v>53026.965486636327</v>
      </c>
      <c r="N24" s="68">
        <f t="shared" si="8"/>
        <v>306944.55022072181</v>
      </c>
      <c r="O24" s="70">
        <f>'Truck Elimination (Inbound)'!O24</f>
        <v>4.6500000000000004</v>
      </c>
      <c r="P24" s="67">
        <f t="shared" si="2"/>
        <v>1427292.1585263566</v>
      </c>
      <c r="Q24" s="69">
        <f t="shared" si="11"/>
        <v>365862.89944860543</v>
      </c>
      <c r="R24" s="69">
        <f t="shared" si="12"/>
        <v>410237.19508061971</v>
      </c>
      <c r="S24" s="69">
        <f t="shared" si="13"/>
        <v>10474.426587166241</v>
      </c>
      <c r="T24" s="67">
        <f t="shared" si="9"/>
        <v>3088105.5761243221</v>
      </c>
      <c r="U24" s="67">
        <f t="shared" si="10"/>
        <v>745817.90987476148</v>
      </c>
    </row>
    <row r="25" spans="1:21" ht="17.25" customHeight="1" x14ac:dyDescent="0.35">
      <c r="A25" s="64">
        <v>22</v>
      </c>
      <c r="B25" s="65">
        <v>2042</v>
      </c>
      <c r="C25" s="66">
        <f>'New Park Customer Carload Proj.'!F20</f>
        <v>1950.6348018298363</v>
      </c>
      <c r="D25" s="66">
        <f>'New Park Customer Carload Proj.'!$H$2</f>
        <v>150.5</v>
      </c>
      <c r="E25" s="66">
        <f>C25*D25*2*'New Park Customer Carload Proj.'!$L$5</f>
        <v>2054993.7637277325</v>
      </c>
      <c r="F25" s="67">
        <f t="shared" si="3"/>
        <v>348033.74382492877</v>
      </c>
      <c r="G25" s="67">
        <f t="shared" si="4"/>
        <v>3032.9220588169715</v>
      </c>
      <c r="H25" s="67">
        <f t="shared" si="5"/>
        <v>1794.934302927988</v>
      </c>
      <c r="I25" s="68">
        <f t="shared" si="6"/>
        <v>58567322.266240373</v>
      </c>
      <c r="J25" s="69">
        <f t="shared" si="0"/>
        <v>425198.75965290511</v>
      </c>
      <c r="K25" s="67">
        <f t="shared" si="7"/>
        <v>547604.46318934753</v>
      </c>
      <c r="L25" s="66">
        <f>C25*2*'New Park Customer Carload Proj.'!$L$5</f>
        <v>13654.443612808855</v>
      </c>
      <c r="M25" s="68">
        <f t="shared" si="1"/>
        <v>54617.774451235418</v>
      </c>
      <c r="N25" s="68">
        <f t="shared" si="8"/>
        <v>316152.88672734343</v>
      </c>
      <c r="O25" s="70">
        <f>'Truck Elimination (Inbound)'!O25</f>
        <v>4.6500000000000004</v>
      </c>
      <c r="P25" s="67">
        <f t="shared" si="2"/>
        <v>1470110.9232821472</v>
      </c>
      <c r="Q25" s="69">
        <f t="shared" si="11"/>
        <v>376838.78643206361</v>
      </c>
      <c r="R25" s="69">
        <f t="shared" si="12"/>
        <v>422544.31093303824</v>
      </c>
      <c r="S25" s="69">
        <f t="shared" si="13"/>
        <v>10788.659384781227</v>
      </c>
      <c r="T25" s="67">
        <f t="shared" si="9"/>
        <v>3180748.7434080513</v>
      </c>
      <c r="U25" s="67">
        <f t="shared" si="10"/>
        <v>717936.86651495716</v>
      </c>
    </row>
    <row r="26" spans="1:21" ht="17.25" customHeight="1" x14ac:dyDescent="0.35">
      <c r="A26" s="64">
        <v>23</v>
      </c>
      <c r="B26" s="65">
        <v>2043</v>
      </c>
      <c r="C26" s="66">
        <f>'New Park Customer Carload Proj.'!F21</f>
        <v>2009.1538458847315</v>
      </c>
      <c r="D26" s="66">
        <f>'New Park Customer Carload Proj.'!$H$2</f>
        <v>150.5</v>
      </c>
      <c r="E26" s="66">
        <f>C26*D26*2*'New Park Customer Carload Proj.'!$L$5</f>
        <v>2116643.5766395647</v>
      </c>
      <c r="F26" s="67">
        <f t="shared" si="3"/>
        <v>358474.75613967667</v>
      </c>
      <c r="G26" s="67">
        <f t="shared" si="4"/>
        <v>3123.9097205814805</v>
      </c>
      <c r="H26" s="67">
        <f t="shared" si="5"/>
        <v>1848.7823320158277</v>
      </c>
      <c r="I26" s="68">
        <f t="shared" si="6"/>
        <v>60324341.934227593</v>
      </c>
      <c r="J26" s="69">
        <f t="shared" si="0"/>
        <v>437954.72244249238</v>
      </c>
      <c r="K26" s="67">
        <f t="shared" si="7"/>
        <v>564032.59708502807</v>
      </c>
      <c r="L26" s="66">
        <f>C26*2*'New Park Customer Carload Proj.'!$L$5</f>
        <v>14064.07692119312</v>
      </c>
      <c r="M26" s="68">
        <f t="shared" si="1"/>
        <v>56256.307684772481</v>
      </c>
      <c r="N26" s="68">
        <f t="shared" si="8"/>
        <v>325637.4733291638</v>
      </c>
      <c r="O26" s="70">
        <f>'Truck Elimination (Inbound)'!O26</f>
        <v>4.6500000000000004</v>
      </c>
      <c r="P26" s="67">
        <f t="shared" si="2"/>
        <v>1514214.2509806117</v>
      </c>
      <c r="Q26" s="69">
        <f t="shared" si="11"/>
        <v>388143.95002502552</v>
      </c>
      <c r="R26" s="69">
        <f t="shared" si="12"/>
        <v>435220.64026102953</v>
      </c>
      <c r="S26" s="69">
        <f t="shared" si="13"/>
        <v>11112.319166324665</v>
      </c>
      <c r="T26" s="67">
        <f t="shared" si="9"/>
        <v>3276171.2057102928</v>
      </c>
      <c r="U26" s="67">
        <f t="shared" si="10"/>
        <v>691098.10514991207</v>
      </c>
    </row>
    <row r="27" spans="1:21" ht="17.25" customHeight="1" x14ac:dyDescent="0.35">
      <c r="A27" s="64">
        <v>24</v>
      </c>
      <c r="B27" s="65">
        <v>2044</v>
      </c>
      <c r="C27" s="66">
        <f>'New Park Customer Carload Proj.'!F22</f>
        <v>2319.4284612612737</v>
      </c>
      <c r="D27" s="66">
        <f>'New Park Customer Carload Proj.'!$H$2</f>
        <v>150.5</v>
      </c>
      <c r="E27" s="66">
        <f>C27*D27*2*'New Park Customer Carload Proj.'!$L$5</f>
        <v>2443517.8839387521</v>
      </c>
      <c r="F27" s="67">
        <f t="shared" si="3"/>
        <v>413834.18882386701</v>
      </c>
      <c r="G27" s="67">
        <f t="shared" si="4"/>
        <v>3606.3366332889264</v>
      </c>
      <c r="H27" s="67">
        <f t="shared" si="5"/>
        <v>2134.2906957263031</v>
      </c>
      <c r="I27" s="68">
        <f t="shared" si="6"/>
        <v>69640259.692254439</v>
      </c>
      <c r="J27" s="69">
        <f t="shared" si="0"/>
        <v>505588.28536576731</v>
      </c>
      <c r="K27" s="67">
        <f t="shared" si="7"/>
        <v>651136.42812257912</v>
      </c>
      <c r="L27" s="66">
        <f>C27*2*'New Park Customer Carload Proj.'!$L$5</f>
        <v>16235.999228828916</v>
      </c>
      <c r="M27" s="68">
        <f t="shared" si="1"/>
        <v>64943.996915315664</v>
      </c>
      <c r="N27" s="68">
        <f t="shared" si="8"/>
        <v>375925.82829826954</v>
      </c>
      <c r="O27" s="70">
        <f>'Truck Elimination (Inbound)'!O27</f>
        <v>4.6500000000000004</v>
      </c>
      <c r="P27" s="67">
        <f t="shared" si="2"/>
        <v>1748055.1015869535</v>
      </c>
      <c r="Q27" s="69">
        <f t="shared" si="11"/>
        <v>448085.21089532727</v>
      </c>
      <c r="R27" s="69">
        <f t="shared" si="12"/>
        <v>502431.97752995795</v>
      </c>
      <c r="S27" s="69">
        <f t="shared" si="13"/>
        <v>12828.400073884286</v>
      </c>
      <c r="T27" s="67">
        <f t="shared" si="9"/>
        <v>3782111.934361584</v>
      </c>
      <c r="U27" s="67">
        <f t="shared" si="10"/>
        <v>745630.58412739029</v>
      </c>
    </row>
    <row r="28" spans="1:21" ht="17.25" customHeight="1" x14ac:dyDescent="0.35">
      <c r="A28" s="64">
        <v>25</v>
      </c>
      <c r="B28" s="65">
        <v>2045</v>
      </c>
      <c r="C28" s="66">
        <f>'New Park Customer Carload Proj.'!F23</f>
        <v>2389.0113150991119</v>
      </c>
      <c r="D28" s="66">
        <f>'New Park Customer Carload Proj.'!$H$2</f>
        <v>150.5</v>
      </c>
      <c r="E28" s="66">
        <f>C28*D28*2*'New Park Customer Carload Proj.'!$L$5</f>
        <v>2516823.4204569142</v>
      </c>
      <c r="F28" s="67">
        <f t="shared" si="3"/>
        <v>426249.21448858298</v>
      </c>
      <c r="G28" s="67">
        <f t="shared" si="4"/>
        <v>3714.5267322875943</v>
      </c>
      <c r="H28" s="67">
        <f t="shared" si="5"/>
        <v>2198.3194165980917</v>
      </c>
      <c r="I28" s="68">
        <f t="shared" si="6"/>
        <v>71729467.483022049</v>
      </c>
      <c r="J28" s="69">
        <f t="shared" si="0"/>
        <v>520755.93392674014</v>
      </c>
      <c r="K28" s="67">
        <f t="shared" si="7"/>
        <v>670670.52096625627</v>
      </c>
      <c r="L28" s="66">
        <f>C28*2*'New Park Customer Carload Proj.'!$L$5</f>
        <v>16723.079205693783</v>
      </c>
      <c r="M28" s="68">
        <f t="shared" si="1"/>
        <v>66892.31682277513</v>
      </c>
      <c r="N28" s="68">
        <f t="shared" si="8"/>
        <v>387203.6031472176</v>
      </c>
      <c r="O28" s="70">
        <f>'Truck Elimination (Inbound)'!O28</f>
        <v>4.6500000000000004</v>
      </c>
      <c r="P28" s="67">
        <f t="shared" si="2"/>
        <v>1800496.7546345619</v>
      </c>
      <c r="Q28" s="69">
        <f t="shared" si="11"/>
        <v>461527.76722218702</v>
      </c>
      <c r="R28" s="69">
        <f t="shared" si="12"/>
        <v>517504.93685585668</v>
      </c>
      <c r="S28" s="69">
        <f t="shared" si="13"/>
        <v>13213.252076100809</v>
      </c>
      <c r="T28" s="67">
        <f t="shared" si="9"/>
        <v>3895575.2923924318</v>
      </c>
      <c r="U28" s="67">
        <f t="shared" si="10"/>
        <v>717756.54359926353</v>
      </c>
    </row>
    <row r="29" spans="1:21" ht="17.25" customHeight="1" x14ac:dyDescent="0.35">
      <c r="A29" s="64">
        <v>26</v>
      </c>
      <c r="B29" s="65">
        <v>2046</v>
      </c>
      <c r="C29" s="66">
        <f>'New Park Customer Carload Proj.'!F24</f>
        <v>2460.6816545520855</v>
      </c>
      <c r="D29" s="66">
        <f>'New Park Customer Carload Proj.'!$H$2</f>
        <v>150.5</v>
      </c>
      <c r="E29" s="66">
        <f>C29*D29*2*'New Park Customer Carload Proj.'!$L$5</f>
        <v>2592328.1230706223</v>
      </c>
      <c r="F29" s="67">
        <f t="shared" si="3"/>
        <v>439036.69092324056</v>
      </c>
      <c r="G29" s="67">
        <f t="shared" si="4"/>
        <v>3825.9625342562222</v>
      </c>
      <c r="H29" s="67">
        <f t="shared" si="5"/>
        <v>2264.2689990960353</v>
      </c>
      <c r="I29" s="68">
        <f t="shared" si="6"/>
        <v>73881351.507512733</v>
      </c>
      <c r="J29" s="69">
        <f t="shared" si="0"/>
        <v>536378.6119445425</v>
      </c>
      <c r="K29" s="67">
        <f t="shared" si="7"/>
        <v>690790.63659524417</v>
      </c>
      <c r="L29" s="66">
        <f>C29*2*'New Park Customer Carload Proj.'!$L$5</f>
        <v>17224.771581864599</v>
      </c>
      <c r="M29" s="68">
        <f t="shared" si="1"/>
        <v>68899.086327458397</v>
      </c>
      <c r="N29" s="68">
        <f t="shared" si="8"/>
        <v>398819.71124163421</v>
      </c>
      <c r="O29" s="70">
        <f>'Truck Elimination (Inbound)'!O29</f>
        <v>4.6500000000000004</v>
      </c>
      <c r="P29" s="67">
        <f t="shared" si="2"/>
        <v>1854511.6572735992</v>
      </c>
      <c r="Q29" s="69">
        <f t="shared" si="11"/>
        <v>475373.60023885278</v>
      </c>
      <c r="R29" s="69">
        <f t="shared" si="12"/>
        <v>533030.0849615325</v>
      </c>
      <c r="S29" s="69">
        <f t="shared" si="13"/>
        <v>13609.649638383838</v>
      </c>
      <c r="T29" s="67">
        <f t="shared" si="9"/>
        <v>4012442.5511642047</v>
      </c>
      <c r="U29" s="67">
        <f t="shared" si="10"/>
        <v>690924.52327779576</v>
      </c>
    </row>
    <row r="30" spans="1:21" ht="17.25" customHeight="1" x14ac:dyDescent="0.35">
      <c r="A30" s="64">
        <v>27</v>
      </c>
      <c r="B30" s="65">
        <v>2047</v>
      </c>
      <c r="C30" s="66">
        <f>'New Park Customer Carload Proj.'!F25</f>
        <v>2784.502104188648</v>
      </c>
      <c r="D30" s="66">
        <f>'New Park Customer Carload Proj.'!$H$2</f>
        <v>150.5</v>
      </c>
      <c r="E30" s="66">
        <f>C30*D30*2*'New Park Customer Carload Proj.'!$L$5</f>
        <v>2933472.9667627406</v>
      </c>
      <c r="F30" s="67">
        <f t="shared" si="3"/>
        <v>496812.9816509377</v>
      </c>
      <c r="G30" s="67">
        <f t="shared" si="4"/>
        <v>4329.4510313739083</v>
      </c>
      <c r="H30" s="67">
        <f t="shared" si="5"/>
        <v>2562.2419628189155</v>
      </c>
      <c r="I30" s="68">
        <f t="shared" si="6"/>
        <v>83603979.552738115</v>
      </c>
      <c r="J30" s="69">
        <f t="shared" si="0"/>
        <v>606964.89155287866</v>
      </c>
      <c r="K30" s="67">
        <f t="shared" si="7"/>
        <v>781697.20881810156</v>
      </c>
      <c r="L30" s="66">
        <f>C30*2*'New Park Customer Carload Proj.'!$L$5</f>
        <v>19491.514729320537</v>
      </c>
      <c r="M30" s="68">
        <f t="shared" si="1"/>
        <v>77966.058917282149</v>
      </c>
      <c r="N30" s="68">
        <f t="shared" si="8"/>
        <v>451303.53334811394</v>
      </c>
      <c r="O30" s="70">
        <f>'Truck Elimination (Inbound)'!O30</f>
        <v>4.6500000000000004</v>
      </c>
      <c r="P30" s="67">
        <f t="shared" si="2"/>
        <v>2098561.4300687299</v>
      </c>
      <c r="Q30" s="69">
        <f t="shared" si="11"/>
        <v>537931.75061556918</v>
      </c>
      <c r="R30" s="69">
        <f t="shared" si="12"/>
        <v>603175.70557147579</v>
      </c>
      <c r="S30" s="69">
        <f t="shared" si="13"/>
        <v>15400.650460105227</v>
      </c>
      <c r="T30" s="67">
        <f t="shared" si="9"/>
        <v>4540471.4201791128</v>
      </c>
      <c r="U30" s="67">
        <f t="shared" si="10"/>
        <v>730699.73336643947</v>
      </c>
    </row>
    <row r="31" spans="1:21" ht="17.25" customHeight="1" x14ac:dyDescent="0.35">
      <c r="A31" s="64">
        <v>28</v>
      </c>
      <c r="B31" s="65">
        <v>2048</v>
      </c>
      <c r="C31" s="66">
        <f>'New Park Customer Carload Proj.'!F26</f>
        <v>2868.0371673143077</v>
      </c>
      <c r="D31" s="66">
        <f>'New Park Customer Carload Proj.'!$H$2</f>
        <v>150.5</v>
      </c>
      <c r="E31" s="66">
        <f>C31*D31*2*'New Park Customer Carload Proj.'!$L$5</f>
        <v>3021477.1557656233</v>
      </c>
      <c r="F31" s="67">
        <f t="shared" si="3"/>
        <v>511717.37110046588</v>
      </c>
      <c r="G31" s="67">
        <f t="shared" si="4"/>
        <v>4459.3345623151254</v>
      </c>
      <c r="H31" s="67">
        <f t="shared" si="5"/>
        <v>2639.1092217034834</v>
      </c>
      <c r="I31" s="68">
        <f t="shared" si="6"/>
        <v>86112098.939320266</v>
      </c>
      <c r="J31" s="69">
        <f t="shared" si="0"/>
        <v>625173.83829946513</v>
      </c>
      <c r="K31" s="67">
        <f t="shared" si="7"/>
        <v>805148.12508264463</v>
      </c>
      <c r="L31" s="66">
        <f>C31*2*'New Park Customer Carload Proj.'!$L$5</f>
        <v>20076.260171200152</v>
      </c>
      <c r="M31" s="68">
        <f t="shared" si="1"/>
        <v>80305.04068480061</v>
      </c>
      <c r="N31" s="68">
        <f t="shared" si="8"/>
        <v>464842.63934855745</v>
      </c>
      <c r="O31" s="70">
        <f>'Truck Elimination (Inbound)'!O31</f>
        <v>4.6500000000000004</v>
      </c>
      <c r="P31" s="67">
        <f t="shared" si="2"/>
        <v>2161518.2729707924</v>
      </c>
      <c r="Q31" s="69">
        <f t="shared" si="11"/>
        <v>554069.70313403639</v>
      </c>
      <c r="R31" s="69">
        <f t="shared" si="12"/>
        <v>621270.97673862008</v>
      </c>
      <c r="S31" s="69">
        <f t="shared" si="13"/>
        <v>15862.669973908385</v>
      </c>
      <c r="T31" s="67">
        <f t="shared" si="9"/>
        <v>4676685.5627844855</v>
      </c>
      <c r="U31" s="67">
        <f t="shared" si="10"/>
        <v>703383.85548358189</v>
      </c>
    </row>
    <row r="32" spans="1:21" ht="17.25" customHeight="1" x14ac:dyDescent="0.35">
      <c r="A32" s="64">
        <v>29</v>
      </c>
      <c r="B32" s="65">
        <v>2049</v>
      </c>
      <c r="C32" s="66">
        <f>'New Park Customer Carload Proj.'!F27</f>
        <v>2954.0782823337372</v>
      </c>
      <c r="D32" s="66">
        <f>'New Park Customer Carload Proj.'!$H$2</f>
        <v>150.5</v>
      </c>
      <c r="E32" s="66">
        <f>C32*D32*2*'New Park Customer Carload Proj.'!$L$5</f>
        <v>3112121.4704385921</v>
      </c>
      <c r="F32" s="67">
        <f t="shared" si="3"/>
        <v>527068.89223348</v>
      </c>
      <c r="G32" s="67">
        <f t="shared" si="4"/>
        <v>4593.1145991845806</v>
      </c>
      <c r="H32" s="67">
        <f t="shared" si="5"/>
        <v>2718.2824983545884</v>
      </c>
      <c r="I32" s="68">
        <f t="shared" si="6"/>
        <v>88695461.90749988</v>
      </c>
      <c r="J32" s="69">
        <f t="shared" si="0"/>
        <v>643929.05344844912</v>
      </c>
      <c r="K32" s="67">
        <f t="shared" si="7"/>
        <v>829302.56883512391</v>
      </c>
      <c r="L32" s="66">
        <f>C32*2*'New Park Customer Carload Proj.'!$L$5</f>
        <v>20678.547976336162</v>
      </c>
      <c r="M32" s="68">
        <f t="shared" si="1"/>
        <v>82714.191905344647</v>
      </c>
      <c r="N32" s="68">
        <f t="shared" si="8"/>
        <v>478787.91852901416</v>
      </c>
      <c r="O32" s="70">
        <f>'Truck Elimination (Inbound)'!O32</f>
        <v>4.6500000000000004</v>
      </c>
      <c r="P32" s="67">
        <f t="shared" si="2"/>
        <v>2226363.821159916</v>
      </c>
      <c r="Q32" s="69">
        <f t="shared" si="11"/>
        <v>570691.79422805738</v>
      </c>
      <c r="R32" s="69">
        <f t="shared" si="12"/>
        <v>639909.10604077892</v>
      </c>
      <c r="S32" s="69">
        <f t="shared" si="13"/>
        <v>16338.550073125638</v>
      </c>
      <c r="T32" s="67">
        <f t="shared" si="9"/>
        <v>4816986.1296680206</v>
      </c>
      <c r="U32" s="67">
        <f t="shared" si="10"/>
        <v>677089.13191410224</v>
      </c>
    </row>
    <row r="33" spans="1:21" ht="17.25" customHeight="1" x14ac:dyDescent="0.35">
      <c r="A33" s="64">
        <v>30</v>
      </c>
      <c r="B33" s="65">
        <v>2050</v>
      </c>
      <c r="C33" s="66">
        <f>'New Park Customer Carload Proj.'!F28</f>
        <v>3292.7006308037494</v>
      </c>
      <c r="D33" s="66">
        <f>'New Park Customer Carload Proj.'!$H$2</f>
        <v>150.5</v>
      </c>
      <c r="E33" s="66">
        <f>C33*D33*2*'New Park Customer Carload Proj.'!$L$5</f>
        <v>3468860.11455175</v>
      </c>
      <c r="F33" s="67">
        <f t="shared" si="3"/>
        <v>587486.14900048438</v>
      </c>
      <c r="G33" s="67">
        <f t="shared" si="4"/>
        <v>5119.6176582501175</v>
      </c>
      <c r="H33" s="67">
        <f t="shared" si="5"/>
        <v>3029.8758670552265</v>
      </c>
      <c r="I33" s="68">
        <f t="shared" si="6"/>
        <v>98862513.26472488</v>
      </c>
      <c r="J33" s="69">
        <f t="shared" si="0"/>
        <v>717741.84630190267</v>
      </c>
      <c r="K33" s="67">
        <f t="shared" si="7"/>
        <v>924364.49902517779</v>
      </c>
      <c r="L33" s="66">
        <f>C33*2*'New Park Customer Carload Proj.'!$L$5</f>
        <v>23048.904415626246</v>
      </c>
      <c r="M33" s="68">
        <f t="shared" si="1"/>
        <v>92195.617662504985</v>
      </c>
      <c r="N33" s="68">
        <f t="shared" si="8"/>
        <v>533670.78685411543</v>
      </c>
      <c r="O33" s="70">
        <f>'Truck Elimination (Inbound)'!O33</f>
        <v>4.6500000000000004</v>
      </c>
      <c r="P33" s="67">
        <f t="shared" si="2"/>
        <v>2481569.1588716367</v>
      </c>
      <c r="Q33" s="69">
        <f t="shared" si="11"/>
        <v>636109.49042445002</v>
      </c>
      <c r="R33" s="69">
        <f t="shared" si="12"/>
        <v>713261.09728309978</v>
      </c>
      <c r="S33" s="69">
        <f t="shared" si="13"/>
        <v>18211.417907889281</v>
      </c>
      <c r="T33" s="67">
        <f t="shared" si="9"/>
        <v>5369151.3060380425</v>
      </c>
      <c r="U33" s="67">
        <f t="shared" si="10"/>
        <v>705329.92864101846</v>
      </c>
    </row>
    <row r="34" spans="1:21" ht="17.25" customHeight="1" x14ac:dyDescent="0.35">
      <c r="A34" s="64">
        <v>31</v>
      </c>
      <c r="B34" s="65">
        <v>2051</v>
      </c>
      <c r="C34" s="66">
        <f>'New Park Customer Carload Proj.'!F29</f>
        <v>3391.4816497278621</v>
      </c>
      <c r="D34" s="66">
        <f>'New Park Customer Carload Proj.'!$H$2</f>
        <v>150.5</v>
      </c>
      <c r="E34" s="66">
        <f>C34*D34*2*'New Park Customer Carload Proj.'!$L$5</f>
        <v>3572925.9179883031</v>
      </c>
      <c r="F34" s="67">
        <f t="shared" si="3"/>
        <v>605110.73347049905</v>
      </c>
      <c r="G34" s="67">
        <f t="shared" si="4"/>
        <v>5273.2061879976227</v>
      </c>
      <c r="H34" s="67">
        <f t="shared" si="5"/>
        <v>3120.7721430668835</v>
      </c>
      <c r="I34" s="68">
        <f t="shared" si="6"/>
        <v>101828388.66266663</v>
      </c>
      <c r="J34" s="69">
        <f t="shared" si="0"/>
        <v>739274.10169095988</v>
      </c>
      <c r="K34" s="67">
        <f t="shared" si="7"/>
        <v>952095.43399593316</v>
      </c>
      <c r="L34" s="66">
        <f>C34*2*'New Park Customer Carload Proj.'!$L$5</f>
        <v>23740.371548095034</v>
      </c>
      <c r="M34" s="68">
        <f t="shared" si="1"/>
        <v>94961.486192380136</v>
      </c>
      <c r="N34" s="68">
        <f t="shared" si="8"/>
        <v>549680.91045973892</v>
      </c>
      <c r="O34" s="70">
        <f>'Truck Elimination (Inbound)'!O34</f>
        <v>4.6500000000000004</v>
      </c>
      <c r="P34" s="67">
        <f t="shared" si="2"/>
        <v>2556016.233637786</v>
      </c>
      <c r="Q34" s="69">
        <f t="shared" si="11"/>
        <v>655192.77513718384</v>
      </c>
      <c r="R34" s="69">
        <f t="shared" si="12"/>
        <v>734658.93020159286</v>
      </c>
      <c r="S34" s="69">
        <f t="shared" si="13"/>
        <v>18757.760445125965</v>
      </c>
      <c r="T34" s="67">
        <f t="shared" si="9"/>
        <v>5530225.8452191856</v>
      </c>
      <c r="U34" s="67">
        <f t="shared" si="10"/>
        <v>678962.45467312995</v>
      </c>
    </row>
    <row r="35" spans="1:21" ht="17.25" customHeight="1" x14ac:dyDescent="0.35">
      <c r="A35" s="64">
        <v>32</v>
      </c>
      <c r="B35" s="65">
        <v>2052</v>
      </c>
      <c r="C35" s="66">
        <f>'New Park Customer Carload Proj.'!F30</f>
        <v>3493.226099219698</v>
      </c>
      <c r="D35" s="66">
        <f>'New Park Customer Carload Proj.'!$H$2</f>
        <v>150.5</v>
      </c>
      <c r="E35" s="66">
        <f>C35*D35*2*'New Park Customer Carload Proj.'!$L$5</f>
        <v>3680113.6955279512</v>
      </c>
      <c r="F35" s="67">
        <f t="shared" si="3"/>
        <v>623264.05547461379</v>
      </c>
      <c r="G35" s="67">
        <f t="shared" si="4"/>
        <v>5431.4023736375493</v>
      </c>
      <c r="H35" s="67">
        <f t="shared" si="5"/>
        <v>3214.3953073588896</v>
      </c>
      <c r="I35" s="68">
        <f t="shared" si="6"/>
        <v>104883240.32254662</v>
      </c>
      <c r="J35" s="69">
        <f t="shared" si="0"/>
        <v>761452.32474168856</v>
      </c>
      <c r="K35" s="67">
        <f t="shared" si="7"/>
        <v>980658.29701581097</v>
      </c>
      <c r="L35" s="66">
        <f>C35*2*'New Park Customer Carload Proj.'!$L$5</f>
        <v>24452.582694537887</v>
      </c>
      <c r="M35" s="68">
        <f t="shared" si="1"/>
        <v>97810.330778151547</v>
      </c>
      <c r="N35" s="68">
        <f t="shared" si="8"/>
        <v>566171.33777353098</v>
      </c>
      <c r="O35" s="70">
        <f>'Truck Elimination (Inbound)'!O35</f>
        <v>4.6500000000000004</v>
      </c>
      <c r="P35" s="67">
        <f t="shared" si="2"/>
        <v>2632696.7206469192</v>
      </c>
      <c r="Q35" s="69">
        <f t="shared" si="11"/>
        <v>674848.5583912991</v>
      </c>
      <c r="R35" s="69">
        <f t="shared" si="12"/>
        <v>756698.69810764049</v>
      </c>
      <c r="S35" s="69">
        <f t="shared" si="13"/>
        <v>19320.493258479739</v>
      </c>
      <c r="T35" s="67">
        <f t="shared" si="9"/>
        <v>5696132.6205757596</v>
      </c>
      <c r="U35" s="67">
        <f t="shared" si="10"/>
        <v>653580.68066665775</v>
      </c>
    </row>
    <row r="36" spans="1:21" ht="17.25" customHeight="1" x14ac:dyDescent="0.35">
      <c r="A36" s="64">
        <v>33</v>
      </c>
      <c r="B36" s="65">
        <v>2053</v>
      </c>
      <c r="C36" s="66">
        <f>'New Park Customer Carload Proj.'!F31</f>
        <v>3848.0228821962892</v>
      </c>
      <c r="D36" s="66">
        <f>'New Park Customer Carload Proj.'!$H$2</f>
        <v>150.5</v>
      </c>
      <c r="E36" s="66">
        <f>C36*D36*2*'New Park Customer Carload Proj.'!$L$5</f>
        <v>4053892.1063937908</v>
      </c>
      <c r="F36" s="67">
        <f t="shared" si="3"/>
        <v>686567.16713885241</v>
      </c>
      <c r="G36" s="67">
        <f t="shared" si="4"/>
        <v>5983.054065936677</v>
      </c>
      <c r="H36" s="67">
        <f t="shared" si="5"/>
        <v>3540.872060329657</v>
      </c>
      <c r="I36" s="68">
        <f t="shared" si="6"/>
        <v>115535925.03222303</v>
      </c>
      <c r="J36" s="69">
        <f t="shared" si="0"/>
        <v>838790.81573393929</v>
      </c>
      <c r="K36" s="67">
        <f t="shared" si="7"/>
        <v>1080260.8990512856</v>
      </c>
      <c r="L36" s="66">
        <f>C36*2*'New Park Customer Carload Proj.'!$L$5</f>
        <v>26936.160175374025</v>
      </c>
      <c r="M36" s="68">
        <f t="shared" si="1"/>
        <v>107744.6407014961</v>
      </c>
      <c r="N36" s="68">
        <f t="shared" si="8"/>
        <v>623675.70867596776</v>
      </c>
      <c r="O36" s="70">
        <f>'Truck Elimination (Inbound)'!O36</f>
        <v>4.6500000000000004</v>
      </c>
      <c r="P36" s="67">
        <f t="shared" si="2"/>
        <v>2900092.0453432505</v>
      </c>
      <c r="Q36" s="69">
        <f t="shared" si="11"/>
        <v>743390.95751258894</v>
      </c>
      <c r="R36" s="69">
        <f t="shared" si="12"/>
        <v>833554.3771119673</v>
      </c>
      <c r="S36" s="69">
        <f t="shared" si="13"/>
        <v>21282.819388804011</v>
      </c>
      <c r="T36" s="67">
        <f t="shared" si="9"/>
        <v>6274672.1916730152</v>
      </c>
      <c r="U36" s="67">
        <f t="shared" si="10"/>
        <v>672862.58270946867</v>
      </c>
    </row>
    <row r="37" spans="1:21" s="58" customFormat="1" ht="17" customHeight="1" x14ac:dyDescent="0.35">
      <c r="A37" s="64">
        <v>34</v>
      </c>
      <c r="B37" s="65">
        <v>2054</v>
      </c>
      <c r="C37" s="66">
        <f>'New Park Customer Carload Proj.'!F32</f>
        <v>3963.4635686621777</v>
      </c>
      <c r="D37" s="66">
        <f>'New Park Customer Carload Proj.'!$H$2</f>
        <v>150.5</v>
      </c>
      <c r="E37" s="66">
        <f>C37*D37*2*'New Park Customer Carload Proj.'!$L$5</f>
        <v>4175508.8695856044</v>
      </c>
      <c r="F37" s="67">
        <f t="shared" si="3"/>
        <v>707164.18215301796</v>
      </c>
      <c r="G37" s="67">
        <f t="shared" si="4"/>
        <v>6162.5456879147769</v>
      </c>
      <c r="H37" s="67">
        <f t="shared" si="5"/>
        <v>3647.0982221395461</v>
      </c>
      <c r="I37" s="68">
        <f t="shared" si="6"/>
        <v>119002002.78318973</v>
      </c>
      <c r="J37" s="69">
        <f t="shared" si="0"/>
        <v>863954.54020595748</v>
      </c>
      <c r="K37" s="67">
        <f t="shared" si="7"/>
        <v>1112668.7260228242</v>
      </c>
      <c r="L37" s="66">
        <f>C37*2*'New Park Customer Carload Proj.'!$L$5</f>
        <v>27744.244980635245</v>
      </c>
      <c r="M37" s="68">
        <f t="shared" si="1"/>
        <v>110976.97992254098</v>
      </c>
      <c r="N37" s="68">
        <f t="shared" si="8"/>
        <v>642385.97993624688</v>
      </c>
      <c r="O37" s="70">
        <f>'Truck Elimination (Inbound)'!O37</f>
        <v>4.6500000000000004</v>
      </c>
      <c r="P37" s="67">
        <f t="shared" si="2"/>
        <v>2987094.8067035484</v>
      </c>
      <c r="Q37" s="69">
        <f t="shared" si="11"/>
        <v>765692.68623796676</v>
      </c>
      <c r="R37" s="69">
        <f t="shared" si="12"/>
        <v>858561.00842532644</v>
      </c>
      <c r="S37" s="69">
        <f t="shared" si="13"/>
        <v>21921.303970468129</v>
      </c>
      <c r="T37" s="67">
        <f t="shared" si="9"/>
        <v>6462912.3574232059</v>
      </c>
      <c r="U37" s="67">
        <f t="shared" si="10"/>
        <v>647708.841299769</v>
      </c>
    </row>
    <row r="38" spans="1:21" s="58" customFormat="1" ht="17.25" customHeight="1" thickBot="1" x14ac:dyDescent="0.4">
      <c r="A38" s="234">
        <v>35</v>
      </c>
      <c r="B38" s="235">
        <v>2055</v>
      </c>
      <c r="C38" s="236">
        <f>'New Park Customer Carload Proj.'!F33</f>
        <v>4082.3674757220433</v>
      </c>
      <c r="D38" s="236">
        <f>'New Park Customer Carload Proj.'!$H$2</f>
        <v>150.5</v>
      </c>
      <c r="E38" s="236">
        <f>C38*D38*2*'New Park Customer Carload Proj.'!$L$5</f>
        <v>4300774.1356731728</v>
      </c>
      <c r="F38" s="67">
        <f t="shared" si="3"/>
        <v>728379.1076176085</v>
      </c>
      <c r="G38" s="237">
        <f>E38/100000000*554800*0.047*5.66</f>
        <v>6347.4220585522226</v>
      </c>
      <c r="H38" s="67">
        <f t="shared" si="5"/>
        <v>3756.5111688037332</v>
      </c>
      <c r="I38" s="238">
        <f t="shared" si="6"/>
        <v>122572062.86668542</v>
      </c>
      <c r="J38" s="240">
        <f t="shared" si="0"/>
        <v>889873.17641213618</v>
      </c>
      <c r="K38" s="249">
        <f t="shared" si="7"/>
        <v>1146048.7878035088</v>
      </c>
      <c r="L38" s="236">
        <f>C38*2*'New Park Customer Carload Proj.'!$L$5</f>
        <v>28576.572330054303</v>
      </c>
      <c r="M38" s="238">
        <f>L38*4</f>
        <v>114306.28932021721</v>
      </c>
      <c r="N38" s="238">
        <f t="shared" si="8"/>
        <v>661657.55933433422</v>
      </c>
      <c r="O38" s="239">
        <f>'Truck Elimination (Inbound)'!O38</f>
        <v>4.6500000000000004</v>
      </c>
      <c r="P38" s="237">
        <f>O38*N38</f>
        <v>3076707.6509046545</v>
      </c>
      <c r="Q38" s="240">
        <f>E38*9.191*0.00220462/2000*18100</f>
        <v>788663.46682510583</v>
      </c>
      <c r="R38" s="240">
        <f>E38*0.215*0.00220462/2000*867600</f>
        <v>884317.83867808618</v>
      </c>
      <c r="S38" s="240">
        <f>E38*0.097*0.00220462/2000*49100</f>
        <v>22578.943089582175</v>
      </c>
      <c r="T38" s="237">
        <f>F38+G38+H38+K38+P38+Q38+R38+S38</f>
        <v>6656799.728145902</v>
      </c>
      <c r="U38" s="237">
        <f>T38/(1+0.07)^A38</f>
        <v>623495.42667174025</v>
      </c>
    </row>
    <row r="39" spans="1:21" s="74" customFormat="1" ht="15.5" thickBot="1" x14ac:dyDescent="0.4">
      <c r="A39" s="71"/>
      <c r="B39" s="72"/>
      <c r="C39" s="228">
        <f>SUM(C3:C38)</f>
        <v>56827.949999790078</v>
      </c>
      <c r="D39" s="73"/>
      <c r="E39" s="229">
        <f>SUM(E3:E38)</f>
        <v>59868245.324778855</v>
      </c>
      <c r="F39" s="230">
        <f>SUM(F3:F38)</f>
        <v>10139286.028204547</v>
      </c>
      <c r="G39" s="230">
        <f>SUM(G3:G38)</f>
        <v>88358.283646959506</v>
      </c>
      <c r="H39" s="230">
        <f>SUM(H3:H38)</f>
        <v>52291.918878928089</v>
      </c>
      <c r="I39" s="231">
        <f t="shared" ref="I39:N39" si="14">SUM(I9:I38)</f>
        <v>1706244991.7561972</v>
      </c>
      <c r="J39" s="248">
        <f t="shared" si="14"/>
        <v>12387338.640149994</v>
      </c>
      <c r="K39" s="250">
        <f t="shared" si="14"/>
        <v>15953390.672920447</v>
      </c>
      <c r="L39" s="231">
        <f t="shared" si="14"/>
        <v>397795.64999853051</v>
      </c>
      <c r="M39" s="228">
        <f t="shared" si="14"/>
        <v>1591182.5999941221</v>
      </c>
      <c r="N39" s="232">
        <f t="shared" si="14"/>
        <v>9210499.2807352077</v>
      </c>
      <c r="O39" s="73"/>
      <c r="P39" s="230">
        <f>SUM(P3:P38)</f>
        <v>42828821.655418716</v>
      </c>
      <c r="Q39" s="260">
        <f>SUM(Q3:S38)</f>
        <v>23553480.889812812</v>
      </c>
      <c r="R39" s="261"/>
      <c r="S39" s="261"/>
      <c r="T39" s="230">
        <f>SUM(T3:T38)</f>
        <v>92670124.370132402</v>
      </c>
      <c r="U39" s="233">
        <f>SUM(U3:U38)</f>
        <v>18311541.712078795</v>
      </c>
    </row>
    <row r="40" spans="1:21" s="58" customFormat="1" ht="17.5" customHeight="1" x14ac:dyDescent="0.35">
      <c r="A40" s="75"/>
      <c r="B40" s="76" t="s">
        <v>2</v>
      </c>
      <c r="C40" s="77"/>
      <c r="D40" s="78"/>
      <c r="E40" s="79"/>
      <c r="F40" s="79"/>
      <c r="G40" s="80">
        <f>SUM(F39:H39)/T39</f>
        <v>0.11093042445558279</v>
      </c>
      <c r="H40" s="81"/>
      <c r="I40" s="82"/>
      <c r="J40" s="271" cm="1">
        <f t="array" ref="J40">SUM(J39:K39/T39)</f>
        <v>0.30582379710504265</v>
      </c>
      <c r="K40" s="272"/>
      <c r="L40" s="79"/>
      <c r="M40" s="82"/>
      <c r="N40" s="84"/>
      <c r="O40" s="78"/>
      <c r="P40" s="83">
        <f>P39/T39</f>
        <v>0.46216428375942109</v>
      </c>
      <c r="Q40" s="85"/>
      <c r="R40" s="83">
        <f>Q39/T39</f>
        <v>0.2541647704684003</v>
      </c>
      <c r="S40" s="86"/>
      <c r="T40" s="86"/>
      <c r="U40" s="79"/>
    </row>
    <row r="41" spans="1:21" s="58" customFormat="1" ht="15" customHeight="1" x14ac:dyDescent="0.3">
      <c r="G41" s="87">
        <f>G40*U39</f>
        <v>2031307.0945570099</v>
      </c>
      <c r="I41" s="88"/>
      <c r="J41" s="273">
        <f>J40*U39</f>
        <v>5600105.2172353109</v>
      </c>
      <c r="K41" s="273"/>
      <c r="M41" s="88"/>
      <c r="N41" s="90"/>
      <c r="P41" s="89">
        <f>P40*U39</f>
        <v>8462940.5598936602</v>
      </c>
      <c r="R41" s="89">
        <f>R40*U39</f>
        <v>4654148.7961730445</v>
      </c>
    </row>
    <row r="43" spans="1:21" s="58" customFormat="1" x14ac:dyDescent="0.3">
      <c r="E43" s="262"/>
      <c r="F43" s="263"/>
      <c r="G43" s="263"/>
      <c r="H43" s="87"/>
      <c r="I43" s="88"/>
      <c r="K43" s="92"/>
      <c r="M43" s="88"/>
      <c r="N43" s="90"/>
    </row>
    <row r="44" spans="1:21" s="58" customFormat="1" ht="15" customHeight="1" x14ac:dyDescent="0.3">
      <c r="E44" s="263"/>
      <c r="F44" s="263"/>
      <c r="G44" s="263"/>
      <c r="I44" s="88"/>
      <c r="M44" s="88"/>
      <c r="N44" s="90"/>
      <c r="O44" s="93"/>
      <c r="P44" s="94"/>
      <c r="Q44" s="95"/>
      <c r="R44" s="95"/>
      <c r="S44" s="95"/>
    </row>
    <row r="45" spans="1:21" s="58" customFormat="1" ht="15" customHeight="1" x14ac:dyDescent="0.3">
      <c r="E45" s="262"/>
      <c r="F45" s="263"/>
      <c r="G45" s="263"/>
      <c r="I45" s="88"/>
      <c r="M45" s="88"/>
      <c r="N45" s="90"/>
      <c r="O45" s="87"/>
      <c r="Q45" s="95"/>
      <c r="R45" s="95"/>
      <c r="S45" s="95"/>
    </row>
    <row r="46" spans="1:21" s="58" customFormat="1" ht="15" customHeight="1" x14ac:dyDescent="0.3">
      <c r="E46" s="263"/>
      <c r="F46" s="263"/>
      <c r="G46" s="263"/>
      <c r="I46" s="88"/>
      <c r="M46" s="88"/>
      <c r="N46" s="90"/>
      <c r="Q46" s="95"/>
      <c r="R46" s="95"/>
      <c r="S46" s="95"/>
    </row>
    <row r="47" spans="1:21" s="58" customFormat="1" ht="15" customHeight="1" x14ac:dyDescent="0.3">
      <c r="E47" s="263"/>
      <c r="F47" s="263"/>
      <c r="G47" s="263"/>
      <c r="I47" s="88"/>
      <c r="L47" s="96"/>
      <c r="M47" s="88"/>
      <c r="N47" s="90"/>
      <c r="Q47" s="95"/>
      <c r="R47" s="95"/>
      <c r="S47" s="95"/>
    </row>
    <row r="48" spans="1:21" s="58" customFormat="1" ht="15" customHeight="1" x14ac:dyDescent="0.3">
      <c r="E48" s="263"/>
      <c r="F48" s="263"/>
      <c r="G48" s="263"/>
      <c r="I48" s="88"/>
      <c r="M48" s="88"/>
      <c r="N48" s="90"/>
      <c r="Q48" s="95"/>
      <c r="R48" s="95"/>
      <c r="S48" s="95"/>
    </row>
    <row r="49" spans="6:21" s="58" customFormat="1" ht="15" customHeight="1" x14ac:dyDescent="0.3">
      <c r="F49" s="87"/>
      <c r="G49" s="87"/>
      <c r="H49" s="87"/>
      <c r="I49" s="88"/>
      <c r="J49" s="97"/>
      <c r="K49" s="87"/>
      <c r="M49" s="88"/>
      <c r="N49" s="90"/>
      <c r="P49" s="97"/>
      <c r="Q49" s="95"/>
      <c r="R49" s="95"/>
      <c r="S49" s="95"/>
      <c r="U49" s="87"/>
    </row>
    <row r="50" spans="6:21" s="58" customFormat="1" ht="15" customHeight="1" x14ac:dyDescent="0.3">
      <c r="F50" s="98"/>
      <c r="G50" s="98"/>
      <c r="H50" s="98"/>
      <c r="I50" s="97"/>
      <c r="K50" s="98"/>
      <c r="M50" s="88"/>
      <c r="N50" s="90"/>
      <c r="P50" s="98"/>
      <c r="Q50" s="95"/>
      <c r="R50" s="95"/>
      <c r="S50" s="95"/>
      <c r="U50" s="99"/>
    </row>
    <row r="51" spans="6:21" s="58" customFormat="1" ht="15" customHeight="1" x14ac:dyDescent="0.3">
      <c r="G51" s="96"/>
      <c r="I51" s="88"/>
      <c r="K51" s="95"/>
      <c r="L51" s="96"/>
      <c r="M51" s="88"/>
      <c r="N51" s="90"/>
      <c r="O51" s="88"/>
      <c r="Q51" s="95"/>
      <c r="R51" s="95"/>
      <c r="S51" s="95"/>
    </row>
    <row r="52" spans="6:21" ht="15" customHeight="1" x14ac:dyDescent="0.3">
      <c r="K52" s="95"/>
      <c r="Q52" s="95"/>
      <c r="R52" s="95"/>
      <c r="S52" s="95"/>
    </row>
    <row r="53" spans="6:21" ht="15" customHeight="1" x14ac:dyDescent="0.3">
      <c r="K53" s="95"/>
      <c r="Q53" s="95"/>
      <c r="R53" s="95"/>
      <c r="S53" s="95"/>
    </row>
    <row r="54" spans="6:21" ht="15" customHeight="1" x14ac:dyDescent="0.3">
      <c r="K54" s="95"/>
      <c r="Q54" s="95"/>
      <c r="R54" s="95"/>
      <c r="S54" s="95"/>
    </row>
    <row r="55" spans="6:21" ht="15" customHeight="1" x14ac:dyDescent="0.3">
      <c r="K55" s="95"/>
      <c r="Q55" s="95"/>
      <c r="R55" s="95"/>
      <c r="S55" s="95"/>
    </row>
    <row r="56" spans="6:21" ht="15" customHeight="1" x14ac:dyDescent="0.3">
      <c r="K56" s="95"/>
      <c r="Q56" s="95"/>
      <c r="R56" s="95"/>
      <c r="S56" s="95"/>
    </row>
    <row r="57" spans="6:21" ht="15" customHeight="1" x14ac:dyDescent="0.3">
      <c r="K57" s="95"/>
      <c r="Q57" s="95"/>
      <c r="R57" s="95"/>
      <c r="S57" s="95"/>
    </row>
    <row r="58" spans="6:21" ht="15" customHeight="1" x14ac:dyDescent="0.3">
      <c r="K58" s="95"/>
      <c r="Q58" s="95"/>
      <c r="R58" s="95"/>
      <c r="S58" s="95"/>
    </row>
    <row r="59" spans="6:21" ht="15" customHeight="1" x14ac:dyDescent="0.3">
      <c r="K59" s="95"/>
      <c r="Q59" s="95"/>
      <c r="R59" s="95"/>
      <c r="S59" s="95"/>
    </row>
    <row r="60" spans="6:21" ht="15" customHeight="1" x14ac:dyDescent="0.3">
      <c r="K60" s="95"/>
      <c r="Q60" s="95"/>
      <c r="R60" s="95"/>
      <c r="S60" s="95"/>
    </row>
    <row r="61" spans="6:21" ht="15" customHeight="1" x14ac:dyDescent="0.3">
      <c r="K61" s="95"/>
      <c r="Q61" s="95"/>
      <c r="R61" s="95"/>
      <c r="S61" s="95"/>
    </row>
    <row r="62" spans="6:21" ht="15" customHeight="1" x14ac:dyDescent="0.3">
      <c r="K62" s="95"/>
      <c r="Q62" s="95"/>
      <c r="R62" s="95"/>
      <c r="S62" s="95"/>
    </row>
    <row r="63" spans="6:21" ht="15" customHeight="1" x14ac:dyDescent="0.3">
      <c r="K63" s="95"/>
      <c r="Q63" s="95"/>
      <c r="R63" s="95"/>
      <c r="S63" s="95"/>
    </row>
    <row r="64" spans="6:21" ht="15" customHeight="1" x14ac:dyDescent="0.3">
      <c r="K64" s="95"/>
      <c r="Q64" s="95"/>
      <c r="R64" s="95"/>
      <c r="S64" s="95"/>
    </row>
    <row r="65" spans="11:19" ht="15" customHeight="1" x14ac:dyDescent="0.3">
      <c r="K65" s="95"/>
      <c r="Q65" s="95"/>
      <c r="R65" s="95"/>
      <c r="S65" s="95"/>
    </row>
    <row r="66" spans="11:19" ht="15" customHeight="1" x14ac:dyDescent="0.3">
      <c r="K66" s="95"/>
      <c r="Q66" s="95"/>
      <c r="R66" s="95"/>
      <c r="S66" s="95"/>
    </row>
    <row r="67" spans="11:19" ht="15" customHeight="1" x14ac:dyDescent="0.3">
      <c r="K67" s="95"/>
      <c r="Q67" s="95"/>
      <c r="R67" s="95"/>
      <c r="S67" s="95"/>
    </row>
    <row r="68" spans="11:19" ht="15" customHeight="1" x14ac:dyDescent="0.3">
      <c r="K68" s="95"/>
      <c r="Q68" s="95"/>
      <c r="R68" s="95"/>
      <c r="S68" s="95"/>
    </row>
    <row r="69" spans="11:19" ht="15" customHeight="1" x14ac:dyDescent="0.3">
      <c r="K69" s="95"/>
      <c r="Q69" s="95"/>
      <c r="R69" s="95"/>
      <c r="S69" s="95"/>
    </row>
    <row r="70" spans="11:19" ht="15" customHeight="1" x14ac:dyDescent="0.3">
      <c r="K70" s="95"/>
      <c r="Q70" s="95"/>
      <c r="R70" s="95"/>
      <c r="S70" s="95"/>
    </row>
    <row r="71" spans="11:19" ht="15" customHeight="1" x14ac:dyDescent="0.3">
      <c r="K71" s="95"/>
      <c r="Q71" s="95"/>
      <c r="R71" s="95"/>
      <c r="S71" s="95"/>
    </row>
    <row r="72" spans="11:19" ht="15" customHeight="1" x14ac:dyDescent="0.3">
      <c r="K72" s="95"/>
      <c r="Q72" s="95"/>
      <c r="R72" s="95"/>
      <c r="S72" s="95"/>
    </row>
    <row r="73" spans="11:19" ht="15" customHeight="1" x14ac:dyDescent="0.3">
      <c r="K73" s="95"/>
      <c r="Q73" s="95"/>
      <c r="R73" s="95"/>
      <c r="S73" s="95"/>
    </row>
    <row r="74" spans="11:19" ht="15" customHeight="1" x14ac:dyDescent="0.3">
      <c r="K74" s="95"/>
      <c r="Q74" s="95"/>
      <c r="R74" s="95"/>
      <c r="S74" s="95"/>
    </row>
    <row r="75" spans="11:19" ht="15" customHeight="1" x14ac:dyDescent="0.3">
      <c r="K75" s="95"/>
      <c r="Q75" s="95"/>
      <c r="R75" s="95"/>
      <c r="S75" s="95"/>
    </row>
    <row r="76" spans="11:19" ht="15" customHeight="1" x14ac:dyDescent="0.3">
      <c r="K76" s="95"/>
      <c r="Q76" s="95"/>
      <c r="R76" s="95"/>
      <c r="S76" s="95"/>
    </row>
    <row r="77" spans="11:19" ht="15" customHeight="1" x14ac:dyDescent="0.3">
      <c r="K77" s="95"/>
      <c r="Q77" s="95"/>
      <c r="R77" s="95"/>
      <c r="S77" s="95"/>
    </row>
    <row r="78" spans="11:19" ht="15" customHeight="1" x14ac:dyDescent="0.3">
      <c r="K78" s="95"/>
      <c r="Q78" s="95"/>
      <c r="R78" s="95"/>
      <c r="S78" s="95"/>
    </row>
    <row r="79" spans="11:19" ht="15" customHeight="1" x14ac:dyDescent="0.3">
      <c r="K79" s="95"/>
      <c r="Q79" s="95"/>
      <c r="R79" s="95"/>
      <c r="S79" s="95"/>
    </row>
    <row r="80" spans="11:19" ht="15" customHeight="1" x14ac:dyDescent="0.3">
      <c r="K80" s="95"/>
      <c r="Q80" s="95"/>
      <c r="R80" s="95"/>
      <c r="S80" s="95"/>
    </row>
    <row r="81" spans="11:19" ht="15" customHeight="1" x14ac:dyDescent="0.3">
      <c r="K81" s="95"/>
      <c r="Q81" s="95"/>
      <c r="R81" s="95"/>
      <c r="S81" s="95"/>
    </row>
    <row r="82" spans="11:19" ht="15" customHeight="1" x14ac:dyDescent="0.3">
      <c r="K82" s="95"/>
      <c r="Q82" s="95"/>
      <c r="R82" s="95"/>
      <c r="S82" s="95"/>
    </row>
    <row r="83" spans="11:19" ht="15" customHeight="1" x14ac:dyDescent="0.3">
      <c r="K83" s="95"/>
      <c r="Q83" s="95"/>
      <c r="R83" s="95"/>
      <c r="S83" s="95"/>
    </row>
    <row r="84" spans="11:19" ht="15" customHeight="1" x14ac:dyDescent="0.3">
      <c r="K84" s="95"/>
      <c r="Q84" s="95"/>
      <c r="R84" s="95"/>
      <c r="S84" s="95"/>
    </row>
    <row r="85" spans="11:19" ht="15" customHeight="1" x14ac:dyDescent="0.3">
      <c r="K85" s="95"/>
      <c r="Q85" s="95"/>
      <c r="R85" s="95"/>
      <c r="S85" s="95"/>
    </row>
    <row r="86" spans="11:19" ht="15" customHeight="1" x14ac:dyDescent="0.3">
      <c r="K86" s="95"/>
      <c r="Q86" s="95"/>
      <c r="R86" s="95"/>
      <c r="S86" s="95"/>
    </row>
    <row r="87" spans="11:19" ht="15" customHeight="1" x14ac:dyDescent="0.3">
      <c r="K87" s="95"/>
      <c r="Q87" s="95"/>
      <c r="R87" s="95"/>
      <c r="S87" s="95"/>
    </row>
    <row r="88" spans="11:19" ht="15" customHeight="1" x14ac:dyDescent="0.3">
      <c r="K88" s="95"/>
      <c r="Q88" s="95"/>
      <c r="R88" s="95"/>
      <c r="S88" s="95"/>
    </row>
    <row r="89" spans="11:19" ht="15" customHeight="1" x14ac:dyDescent="0.3">
      <c r="K89" s="95"/>
      <c r="Q89" s="95"/>
      <c r="R89" s="95"/>
      <c r="S89" s="95"/>
    </row>
    <row r="90" spans="11:19" ht="15" customHeight="1" x14ac:dyDescent="0.3">
      <c r="K90" s="95"/>
      <c r="Q90" s="95"/>
      <c r="R90" s="95"/>
      <c r="S90" s="95"/>
    </row>
    <row r="91" spans="11:19" ht="15" customHeight="1" x14ac:dyDescent="0.3">
      <c r="K91" s="95"/>
      <c r="Q91" s="95"/>
      <c r="R91" s="95"/>
      <c r="S91" s="95"/>
    </row>
    <row r="92" spans="11:19" ht="15" customHeight="1" x14ac:dyDescent="0.3">
      <c r="K92" s="95"/>
      <c r="Q92" s="95"/>
      <c r="R92" s="95"/>
      <c r="S92" s="95"/>
    </row>
    <row r="93" spans="11:19" ht="15" customHeight="1" x14ac:dyDescent="0.3">
      <c r="K93" s="95"/>
      <c r="Q93" s="95"/>
      <c r="R93" s="95"/>
      <c r="S93" s="95"/>
    </row>
    <row r="94" spans="11:19" ht="15" customHeight="1" x14ac:dyDescent="0.3">
      <c r="K94" s="95"/>
      <c r="Q94" s="95"/>
      <c r="R94" s="95"/>
      <c r="S94" s="95"/>
    </row>
    <row r="95" spans="11:19" ht="15" customHeight="1" x14ac:dyDescent="0.3">
      <c r="K95" s="95"/>
      <c r="Q95" s="95"/>
      <c r="R95" s="95"/>
      <c r="S95" s="95"/>
    </row>
    <row r="96" spans="11:19" ht="15" customHeight="1" x14ac:dyDescent="0.3">
      <c r="K96" s="95"/>
      <c r="Q96" s="95"/>
      <c r="R96" s="95"/>
      <c r="S96" s="95"/>
    </row>
    <row r="97" spans="11:19" ht="15" customHeight="1" x14ac:dyDescent="0.3">
      <c r="K97" s="95"/>
      <c r="Q97" s="95"/>
      <c r="R97" s="95"/>
      <c r="S97" s="95"/>
    </row>
    <row r="98" spans="11:19" ht="15" customHeight="1" x14ac:dyDescent="0.3">
      <c r="K98" s="95"/>
      <c r="Q98" s="95"/>
      <c r="R98" s="95"/>
      <c r="S98" s="95"/>
    </row>
    <row r="99" spans="11:19" ht="15" customHeight="1" x14ac:dyDescent="0.3">
      <c r="K99" s="95"/>
      <c r="Q99" s="95"/>
      <c r="R99" s="95"/>
      <c r="S99" s="95"/>
    </row>
    <row r="100" spans="11:19" ht="15" customHeight="1" x14ac:dyDescent="0.3">
      <c r="K100" s="95"/>
      <c r="Q100" s="95"/>
      <c r="R100" s="95"/>
      <c r="S100" s="95"/>
    </row>
    <row r="101" spans="11:19" ht="15" customHeight="1" x14ac:dyDescent="0.3">
      <c r="K101" s="95"/>
      <c r="Q101" s="95"/>
      <c r="R101" s="95"/>
      <c r="S101" s="95"/>
    </row>
    <row r="102" spans="11:19" ht="15" customHeight="1" x14ac:dyDescent="0.3">
      <c r="K102" s="95"/>
      <c r="Q102" s="95"/>
      <c r="R102" s="95"/>
      <c r="S102" s="95"/>
    </row>
    <row r="103" spans="11:19" ht="15" customHeight="1" x14ac:dyDescent="0.3">
      <c r="K103" s="95"/>
      <c r="Q103" s="95"/>
      <c r="R103" s="95"/>
      <c r="S103" s="95"/>
    </row>
    <row r="104" spans="11:19" ht="15" customHeight="1" x14ac:dyDescent="0.3">
      <c r="K104" s="95"/>
      <c r="Q104" s="95"/>
      <c r="R104" s="95"/>
      <c r="S104" s="95"/>
    </row>
    <row r="105" spans="11:19" ht="15" customHeight="1" x14ac:dyDescent="0.3">
      <c r="K105" s="95"/>
      <c r="Q105" s="95"/>
      <c r="R105" s="95"/>
      <c r="S105" s="95"/>
    </row>
    <row r="106" spans="11:19" ht="15" customHeight="1" x14ac:dyDescent="0.3">
      <c r="K106" s="95"/>
      <c r="Q106" s="95"/>
      <c r="R106" s="95"/>
      <c r="S106" s="95"/>
    </row>
    <row r="107" spans="11:19" ht="15" customHeight="1" x14ac:dyDescent="0.3">
      <c r="K107" s="95"/>
      <c r="Q107" s="95"/>
      <c r="R107" s="95"/>
      <c r="S107" s="95"/>
    </row>
    <row r="108" spans="11:19" ht="15" customHeight="1" x14ac:dyDescent="0.3">
      <c r="K108" s="95"/>
      <c r="Q108" s="95"/>
      <c r="R108" s="95"/>
      <c r="S108" s="95"/>
    </row>
    <row r="109" spans="11:19" ht="15" customHeight="1" x14ac:dyDescent="0.3">
      <c r="K109" s="95"/>
      <c r="Q109" s="95"/>
      <c r="R109" s="95"/>
      <c r="S109" s="95"/>
    </row>
    <row r="110" spans="11:19" ht="15" customHeight="1" x14ac:dyDescent="0.3">
      <c r="K110" s="95"/>
      <c r="Q110" s="95"/>
      <c r="R110" s="95"/>
      <c r="S110" s="95"/>
    </row>
    <row r="111" spans="11:19" ht="15" customHeight="1" x14ac:dyDescent="0.3">
      <c r="K111" s="95"/>
      <c r="Q111" s="95"/>
      <c r="R111" s="95"/>
      <c r="S111" s="95"/>
    </row>
    <row r="112" spans="11:19" ht="15" customHeight="1" x14ac:dyDescent="0.3">
      <c r="K112" s="95"/>
      <c r="Q112" s="95"/>
      <c r="R112" s="95"/>
      <c r="S112" s="95"/>
    </row>
    <row r="113" spans="11:19" ht="15" customHeight="1" x14ac:dyDescent="0.3">
      <c r="K113" s="95"/>
      <c r="Q113" s="95"/>
      <c r="R113" s="95"/>
      <c r="S113" s="95"/>
    </row>
    <row r="114" spans="11:19" ht="15" customHeight="1" x14ac:dyDescent="0.3">
      <c r="K114" s="95"/>
      <c r="Q114" s="95"/>
      <c r="R114" s="95"/>
      <c r="S114" s="95"/>
    </row>
    <row r="115" spans="11:19" ht="15" customHeight="1" x14ac:dyDescent="0.3">
      <c r="K115" s="95"/>
      <c r="Q115" s="95"/>
      <c r="R115" s="95"/>
      <c r="S115" s="95"/>
    </row>
    <row r="116" spans="11:19" ht="15" customHeight="1" x14ac:dyDescent="0.3">
      <c r="K116" s="95"/>
      <c r="Q116" s="95"/>
      <c r="R116" s="95"/>
      <c r="S116" s="95"/>
    </row>
    <row r="117" spans="11:19" ht="15" customHeight="1" x14ac:dyDescent="0.3">
      <c r="K117" s="95"/>
      <c r="Q117" s="95"/>
      <c r="R117" s="95"/>
      <c r="S117" s="95"/>
    </row>
    <row r="118" spans="11:19" ht="15" customHeight="1" x14ac:dyDescent="0.3">
      <c r="K118" s="95"/>
      <c r="Q118" s="95"/>
      <c r="R118" s="95"/>
      <c r="S118" s="95"/>
    </row>
    <row r="119" spans="11:19" ht="15" customHeight="1" x14ac:dyDescent="0.3">
      <c r="K119" s="95"/>
      <c r="Q119" s="95"/>
      <c r="R119" s="95"/>
      <c r="S119" s="95"/>
    </row>
    <row r="120" spans="11:19" ht="15" customHeight="1" x14ac:dyDescent="0.3">
      <c r="K120" s="95"/>
      <c r="Q120" s="95"/>
      <c r="R120" s="95"/>
      <c r="S120" s="95"/>
    </row>
    <row r="121" spans="11:19" ht="15" customHeight="1" x14ac:dyDescent="0.3">
      <c r="K121" s="95"/>
      <c r="Q121" s="95"/>
      <c r="R121" s="95"/>
      <c r="S121" s="95"/>
    </row>
    <row r="122" spans="11:19" ht="15" customHeight="1" x14ac:dyDescent="0.3">
      <c r="K122" s="95"/>
      <c r="Q122" s="95"/>
      <c r="R122" s="95"/>
      <c r="S122" s="95"/>
    </row>
    <row r="123" spans="11:19" ht="15" customHeight="1" x14ac:dyDescent="0.3">
      <c r="K123" s="95"/>
      <c r="Q123" s="95"/>
      <c r="R123" s="95"/>
      <c r="S123" s="95"/>
    </row>
    <row r="124" spans="11:19" ht="15" customHeight="1" x14ac:dyDescent="0.3">
      <c r="K124" s="95"/>
      <c r="Q124" s="95"/>
      <c r="R124" s="95"/>
      <c r="S124" s="95"/>
    </row>
    <row r="125" spans="11:19" ht="15" customHeight="1" x14ac:dyDescent="0.3">
      <c r="K125" s="95"/>
      <c r="Q125" s="95"/>
      <c r="R125" s="95"/>
      <c r="S125" s="95"/>
    </row>
    <row r="126" spans="11:19" ht="15" customHeight="1" x14ac:dyDescent="0.3">
      <c r="K126" s="95"/>
      <c r="Q126" s="95"/>
      <c r="R126" s="95"/>
      <c r="S126" s="95"/>
    </row>
    <row r="127" spans="11:19" ht="15" customHeight="1" x14ac:dyDescent="0.3">
      <c r="K127" s="95"/>
      <c r="Q127" s="95"/>
      <c r="R127" s="95"/>
      <c r="S127" s="95"/>
    </row>
    <row r="128" spans="11:19" ht="15" customHeight="1" x14ac:dyDescent="0.3">
      <c r="K128" s="95"/>
      <c r="Q128" s="95"/>
      <c r="R128" s="95"/>
      <c r="S128" s="95"/>
    </row>
    <row r="129" spans="11:19" ht="15" customHeight="1" x14ac:dyDescent="0.3">
      <c r="K129" s="95"/>
      <c r="Q129" s="95"/>
      <c r="R129" s="95"/>
      <c r="S129" s="95"/>
    </row>
    <row r="130" spans="11:19" ht="15" customHeight="1" x14ac:dyDescent="0.3">
      <c r="K130" s="95"/>
      <c r="Q130" s="95"/>
      <c r="R130" s="95"/>
      <c r="S130" s="95"/>
    </row>
    <row r="131" spans="11:19" ht="15" customHeight="1" x14ac:dyDescent="0.3">
      <c r="K131" s="95"/>
      <c r="Q131" s="95"/>
      <c r="R131" s="95"/>
      <c r="S131" s="95"/>
    </row>
    <row r="132" spans="11:19" ht="15" customHeight="1" x14ac:dyDescent="0.3">
      <c r="K132" s="95"/>
      <c r="Q132" s="95"/>
      <c r="R132" s="95"/>
      <c r="S132" s="95"/>
    </row>
    <row r="133" spans="11:19" ht="15" customHeight="1" x14ac:dyDescent="0.3">
      <c r="K133" s="95"/>
      <c r="Q133" s="95"/>
      <c r="R133" s="95"/>
      <c r="S133" s="95"/>
    </row>
    <row r="134" spans="11:19" ht="15" customHeight="1" x14ac:dyDescent="0.3">
      <c r="K134" s="95"/>
      <c r="Q134" s="95"/>
      <c r="R134" s="95"/>
      <c r="S134" s="95"/>
    </row>
    <row r="135" spans="11:19" ht="15" customHeight="1" x14ac:dyDescent="0.3">
      <c r="K135" s="95"/>
      <c r="Q135" s="95"/>
      <c r="R135" s="95"/>
      <c r="S135" s="95"/>
    </row>
    <row r="136" spans="11:19" ht="15" customHeight="1" x14ac:dyDescent="0.3">
      <c r="K136" s="95"/>
      <c r="Q136" s="95"/>
      <c r="R136" s="95"/>
      <c r="S136" s="95"/>
    </row>
    <row r="137" spans="11:19" ht="15" customHeight="1" x14ac:dyDescent="0.3">
      <c r="K137" s="95"/>
      <c r="Q137" s="95"/>
      <c r="R137" s="95"/>
      <c r="S137" s="95"/>
    </row>
    <row r="138" spans="11:19" ht="15" customHeight="1" x14ac:dyDescent="0.3">
      <c r="K138" s="95"/>
      <c r="Q138" s="95"/>
      <c r="R138" s="95"/>
      <c r="S138" s="95"/>
    </row>
    <row r="139" spans="11:19" ht="15" customHeight="1" x14ac:dyDescent="0.3">
      <c r="K139" s="95"/>
      <c r="Q139" s="95"/>
      <c r="R139" s="95"/>
      <c r="S139" s="95"/>
    </row>
    <row r="140" spans="11:19" ht="15" customHeight="1" x14ac:dyDescent="0.3">
      <c r="K140" s="95"/>
      <c r="Q140" s="95"/>
      <c r="R140" s="95"/>
      <c r="S140" s="95"/>
    </row>
    <row r="141" spans="11:19" ht="15" customHeight="1" x14ac:dyDescent="0.3">
      <c r="K141" s="95"/>
      <c r="Q141" s="95"/>
      <c r="R141" s="95"/>
      <c r="S141" s="95"/>
    </row>
    <row r="142" spans="11:19" ht="15" customHeight="1" x14ac:dyDescent="0.3">
      <c r="K142" s="95"/>
      <c r="Q142" s="95"/>
      <c r="R142" s="95"/>
      <c r="S142" s="95"/>
    </row>
    <row r="143" spans="11:19" ht="15" customHeight="1" x14ac:dyDescent="0.3">
      <c r="K143" s="95"/>
      <c r="Q143" s="95"/>
      <c r="R143" s="95"/>
      <c r="S143" s="95"/>
    </row>
    <row r="144" spans="11:19" ht="15" customHeight="1" x14ac:dyDescent="0.3">
      <c r="K144" s="95"/>
      <c r="Q144" s="95"/>
      <c r="R144" s="95"/>
      <c r="S144" s="95"/>
    </row>
    <row r="145" spans="11:19" ht="15" customHeight="1" x14ac:dyDescent="0.3">
      <c r="K145" s="95"/>
      <c r="Q145" s="95"/>
      <c r="R145" s="95"/>
      <c r="S145" s="95"/>
    </row>
    <row r="146" spans="11:19" ht="15" customHeight="1" x14ac:dyDescent="0.3">
      <c r="K146" s="95"/>
      <c r="Q146" s="95"/>
      <c r="R146" s="95"/>
      <c r="S146" s="95"/>
    </row>
    <row r="147" spans="11:19" ht="15" customHeight="1" x14ac:dyDescent="0.3">
      <c r="K147" s="95"/>
      <c r="Q147" s="95"/>
      <c r="R147" s="95"/>
      <c r="S147" s="95"/>
    </row>
    <row r="148" spans="11:19" ht="15" customHeight="1" x14ac:dyDescent="0.3">
      <c r="K148" s="95"/>
      <c r="Q148" s="95"/>
      <c r="R148" s="95"/>
      <c r="S148" s="95"/>
    </row>
    <row r="149" spans="11:19" ht="15" customHeight="1" x14ac:dyDescent="0.3">
      <c r="K149" s="95"/>
      <c r="Q149" s="95"/>
      <c r="R149" s="95"/>
      <c r="S149" s="95"/>
    </row>
    <row r="150" spans="11:19" ht="15" customHeight="1" x14ac:dyDescent="0.3">
      <c r="K150" s="95"/>
      <c r="Q150" s="95"/>
      <c r="R150" s="95"/>
      <c r="S150" s="95"/>
    </row>
    <row r="151" spans="11:19" ht="15" customHeight="1" x14ac:dyDescent="0.3">
      <c r="K151" s="95"/>
      <c r="Q151" s="95"/>
      <c r="R151" s="95"/>
      <c r="S151" s="95"/>
    </row>
    <row r="152" spans="11:19" ht="15" customHeight="1" x14ac:dyDescent="0.3">
      <c r="K152" s="95"/>
      <c r="Q152" s="95"/>
      <c r="R152" s="95"/>
      <c r="S152" s="95"/>
    </row>
    <row r="153" spans="11:19" ht="15" customHeight="1" x14ac:dyDescent="0.3">
      <c r="K153" s="95"/>
      <c r="Q153" s="95"/>
      <c r="R153" s="95"/>
      <c r="S153" s="95"/>
    </row>
    <row r="154" spans="11:19" ht="15" customHeight="1" x14ac:dyDescent="0.3">
      <c r="K154" s="95"/>
      <c r="Q154" s="95"/>
      <c r="R154" s="95"/>
      <c r="S154" s="95"/>
    </row>
    <row r="155" spans="11:19" ht="15" customHeight="1" x14ac:dyDescent="0.3">
      <c r="K155" s="95"/>
      <c r="Q155" s="95"/>
      <c r="R155" s="95"/>
      <c r="S155" s="95"/>
    </row>
    <row r="156" spans="11:19" ht="15" customHeight="1" x14ac:dyDescent="0.3">
      <c r="K156" s="95"/>
      <c r="Q156" s="95"/>
      <c r="R156" s="95"/>
      <c r="S156" s="95"/>
    </row>
    <row r="157" spans="11:19" ht="15" customHeight="1" x14ac:dyDescent="0.3">
      <c r="K157" s="95"/>
      <c r="Q157" s="95"/>
      <c r="R157" s="95"/>
      <c r="S157" s="95"/>
    </row>
    <row r="158" spans="11:19" ht="15" customHeight="1" x14ac:dyDescent="0.3">
      <c r="K158" s="95"/>
    </row>
    <row r="159" spans="11:19" ht="15" customHeight="1" x14ac:dyDescent="0.3">
      <c r="K159" s="95"/>
    </row>
    <row r="160" spans="11:19" ht="15" customHeight="1" x14ac:dyDescent="0.3">
      <c r="K160" s="95"/>
    </row>
    <row r="161" spans="11:11" ht="15" customHeight="1" x14ac:dyDescent="0.3">
      <c r="K161" s="95"/>
    </row>
    <row r="162" spans="11:11" ht="15" customHeight="1" x14ac:dyDescent="0.3">
      <c r="K162" s="95"/>
    </row>
    <row r="163" spans="11:11" ht="15" customHeight="1" x14ac:dyDescent="0.3">
      <c r="K163" s="95"/>
    </row>
    <row r="164" spans="11:11" ht="15" customHeight="1" x14ac:dyDescent="0.3">
      <c r="K164" s="95"/>
    </row>
    <row r="165" spans="11:11" ht="15" customHeight="1" x14ac:dyDescent="0.3">
      <c r="K165" s="95"/>
    </row>
    <row r="166" spans="11:11" ht="15" customHeight="1" x14ac:dyDescent="0.3">
      <c r="K166" s="95"/>
    </row>
    <row r="167" spans="11:11" ht="15" customHeight="1" x14ac:dyDescent="0.3">
      <c r="K167" s="95"/>
    </row>
    <row r="168" spans="11:11" ht="15" customHeight="1" x14ac:dyDescent="0.3">
      <c r="K168" s="95"/>
    </row>
    <row r="169" spans="11:11" ht="15" customHeight="1" x14ac:dyDescent="0.3">
      <c r="K169" s="95"/>
    </row>
    <row r="170" spans="11:11" ht="15" customHeight="1" x14ac:dyDescent="0.3">
      <c r="K170" s="95"/>
    </row>
    <row r="171" spans="11:11" ht="15" customHeight="1" x14ac:dyDescent="0.3">
      <c r="K171" s="95"/>
    </row>
    <row r="172" spans="11:11" ht="15" customHeight="1" x14ac:dyDescent="0.3">
      <c r="K172" s="95"/>
    </row>
    <row r="173" spans="11:11" ht="15" customHeight="1" x14ac:dyDescent="0.3">
      <c r="K173" s="95"/>
    </row>
    <row r="174" spans="11:11" ht="15" customHeight="1" x14ac:dyDescent="0.3">
      <c r="K174" s="95"/>
    </row>
    <row r="175" spans="11:11" ht="15" customHeight="1" x14ac:dyDescent="0.3">
      <c r="K175" s="95"/>
    </row>
    <row r="176" spans="11:11" ht="15" customHeight="1" x14ac:dyDescent="0.3">
      <c r="K176" s="95"/>
    </row>
    <row r="177" spans="11:11" ht="15" customHeight="1" x14ac:dyDescent="0.3">
      <c r="K177" s="95"/>
    </row>
    <row r="178" spans="11:11" ht="15" customHeight="1" x14ac:dyDescent="0.3">
      <c r="K178" s="95"/>
    </row>
    <row r="179" spans="11:11" ht="15" customHeight="1" x14ac:dyDescent="0.3">
      <c r="K179" s="95"/>
    </row>
    <row r="180" spans="11:11" ht="15" customHeight="1" x14ac:dyDescent="0.3">
      <c r="K180" s="95"/>
    </row>
    <row r="181" spans="11:11" ht="15" customHeight="1" x14ac:dyDescent="0.3">
      <c r="K181" s="95"/>
    </row>
    <row r="182" spans="11:11" ht="15" customHeight="1" x14ac:dyDescent="0.3">
      <c r="K182" s="95"/>
    </row>
    <row r="183" spans="11:11" ht="15" customHeight="1" x14ac:dyDescent="0.3">
      <c r="K183" s="95"/>
    </row>
    <row r="184" spans="11:11" ht="15" customHeight="1" x14ac:dyDescent="0.3">
      <c r="K184" s="95"/>
    </row>
    <row r="185" spans="11:11" ht="15" customHeight="1" x14ac:dyDescent="0.3">
      <c r="K185" s="95"/>
    </row>
    <row r="186" spans="11:11" ht="15" customHeight="1" x14ac:dyDescent="0.3">
      <c r="K186" s="95"/>
    </row>
    <row r="187" spans="11:11" ht="15" customHeight="1" x14ac:dyDescent="0.3">
      <c r="K187" s="95"/>
    </row>
    <row r="188" spans="11:11" ht="15" customHeight="1" x14ac:dyDescent="0.3">
      <c r="K188" s="95"/>
    </row>
    <row r="189" spans="11:11" ht="15" customHeight="1" x14ac:dyDescent="0.3">
      <c r="K189" s="95"/>
    </row>
    <row r="190" spans="11:11" ht="15" customHeight="1" x14ac:dyDescent="0.3">
      <c r="K190" s="95"/>
    </row>
    <row r="191" spans="11:11" ht="15" customHeight="1" x14ac:dyDescent="0.3">
      <c r="K191" s="95"/>
    </row>
    <row r="192" spans="11:11" ht="15" customHeight="1" x14ac:dyDescent="0.3">
      <c r="K192" s="95"/>
    </row>
    <row r="193" spans="11:11" ht="15" customHeight="1" x14ac:dyDescent="0.3">
      <c r="K193" s="95"/>
    </row>
    <row r="194" spans="11:11" ht="15" customHeight="1" x14ac:dyDescent="0.3">
      <c r="K194" s="95"/>
    </row>
    <row r="195" spans="11:11" ht="15" customHeight="1" x14ac:dyDescent="0.3">
      <c r="K195" s="95"/>
    </row>
    <row r="196" spans="11:11" ht="15" customHeight="1" x14ac:dyDescent="0.3">
      <c r="K196" s="95"/>
    </row>
    <row r="197" spans="11:11" ht="15" customHeight="1" x14ac:dyDescent="0.3">
      <c r="K197" s="95"/>
    </row>
    <row r="198" spans="11:11" ht="15" customHeight="1" x14ac:dyDescent="0.3">
      <c r="K198" s="95"/>
    </row>
    <row r="199" spans="11:11" ht="15" customHeight="1" x14ac:dyDescent="0.3">
      <c r="K199" s="95"/>
    </row>
    <row r="200" spans="11:11" ht="15" customHeight="1" x14ac:dyDescent="0.3">
      <c r="K200" s="95"/>
    </row>
    <row r="201" spans="11:11" ht="15" customHeight="1" x14ac:dyDescent="0.3">
      <c r="K201" s="95"/>
    </row>
    <row r="202" spans="11:11" ht="15" customHeight="1" x14ac:dyDescent="0.3">
      <c r="K202" s="95"/>
    </row>
    <row r="203" spans="11:11" ht="15" customHeight="1" x14ac:dyDescent="0.3">
      <c r="K203" s="95"/>
    </row>
    <row r="204" spans="11:11" ht="15" customHeight="1" x14ac:dyDescent="0.3">
      <c r="K204" s="95"/>
    </row>
    <row r="205" spans="11:11" ht="15" customHeight="1" x14ac:dyDescent="0.3">
      <c r="K205" s="95"/>
    </row>
    <row r="206" spans="11:11" ht="15" customHeight="1" x14ac:dyDescent="0.3">
      <c r="K206" s="95"/>
    </row>
    <row r="207" spans="11:11" ht="15" customHeight="1" x14ac:dyDescent="0.3">
      <c r="K207" s="95"/>
    </row>
    <row r="208" spans="11:11" ht="15" customHeight="1" x14ac:dyDescent="0.3">
      <c r="K208" s="95"/>
    </row>
    <row r="209" spans="11:11" ht="15" customHeight="1" x14ac:dyDescent="0.3">
      <c r="K209" s="95"/>
    </row>
    <row r="210" spans="11:11" ht="15" customHeight="1" x14ac:dyDescent="0.3">
      <c r="K210" s="95"/>
    </row>
    <row r="211" spans="11:11" ht="15" customHeight="1" x14ac:dyDescent="0.3">
      <c r="K211" s="95"/>
    </row>
    <row r="212" spans="11:11" ht="15" customHeight="1" x14ac:dyDescent="0.3">
      <c r="K212" s="95"/>
    </row>
    <row r="213" spans="11:11" ht="15" customHeight="1" x14ac:dyDescent="0.3">
      <c r="K213" s="95"/>
    </row>
    <row r="214" spans="11:11" ht="15" customHeight="1" x14ac:dyDescent="0.3">
      <c r="K214" s="95"/>
    </row>
    <row r="215" spans="11:11" ht="15" customHeight="1" x14ac:dyDescent="0.3">
      <c r="K215" s="95"/>
    </row>
    <row r="216" spans="11:11" ht="15" customHeight="1" x14ac:dyDescent="0.3">
      <c r="K216" s="95"/>
    </row>
    <row r="217" spans="11:11" ht="15" customHeight="1" x14ac:dyDescent="0.3">
      <c r="K217" s="95"/>
    </row>
    <row r="218" spans="11:11" ht="15" customHeight="1" x14ac:dyDescent="0.3">
      <c r="K218" s="95"/>
    </row>
    <row r="219" spans="11:11" ht="15" customHeight="1" x14ac:dyDescent="0.3">
      <c r="K219" s="95"/>
    </row>
    <row r="220" spans="11:11" ht="15" customHeight="1" x14ac:dyDescent="0.3">
      <c r="K220" s="95"/>
    </row>
    <row r="221" spans="11:11" ht="15" customHeight="1" x14ac:dyDescent="0.3">
      <c r="K221" s="95"/>
    </row>
    <row r="222" spans="11:11" ht="15" customHeight="1" x14ac:dyDescent="0.3">
      <c r="K222" s="95"/>
    </row>
    <row r="223" spans="11:11" ht="15" customHeight="1" x14ac:dyDescent="0.3">
      <c r="K223" s="95"/>
    </row>
    <row r="224" spans="11:11" ht="15" customHeight="1" x14ac:dyDescent="0.3">
      <c r="K224" s="95"/>
    </row>
    <row r="225" spans="11:11" ht="15" customHeight="1" x14ac:dyDescent="0.3">
      <c r="K225" s="95"/>
    </row>
    <row r="226" spans="11:11" ht="15" customHeight="1" x14ac:dyDescent="0.3">
      <c r="K226" s="95"/>
    </row>
    <row r="227" spans="11:11" ht="15" customHeight="1" x14ac:dyDescent="0.3">
      <c r="K227" s="95"/>
    </row>
    <row r="228" spans="11:11" ht="15" customHeight="1" x14ac:dyDescent="0.3">
      <c r="K228" s="95"/>
    </row>
    <row r="229" spans="11:11" ht="15" customHeight="1" x14ac:dyDescent="0.3">
      <c r="K229" s="95"/>
    </row>
    <row r="230" spans="11:11" ht="15" customHeight="1" x14ac:dyDescent="0.3">
      <c r="K230" s="95"/>
    </row>
    <row r="231" spans="11:11" ht="15" customHeight="1" x14ac:dyDescent="0.3">
      <c r="K231" s="95"/>
    </row>
    <row r="232" spans="11:11" ht="15" customHeight="1" x14ac:dyDescent="0.3">
      <c r="K232" s="95"/>
    </row>
    <row r="233" spans="11:11" ht="15" customHeight="1" x14ac:dyDescent="0.3">
      <c r="K233" s="95"/>
    </row>
    <row r="234" spans="11:11" ht="15" customHeight="1" x14ac:dyDescent="0.3">
      <c r="K234" s="95"/>
    </row>
    <row r="235" spans="11:11" ht="15" customHeight="1" x14ac:dyDescent="0.3">
      <c r="K235" s="95"/>
    </row>
    <row r="236" spans="11:11" ht="15" customHeight="1" x14ac:dyDescent="0.3">
      <c r="K236" s="95"/>
    </row>
    <row r="237" spans="11:11" ht="15" customHeight="1" x14ac:dyDescent="0.3">
      <c r="K237" s="95"/>
    </row>
    <row r="238" spans="11:11" ht="15" customHeight="1" x14ac:dyDescent="0.3">
      <c r="K238" s="95"/>
    </row>
    <row r="239" spans="11:11" ht="15" customHeight="1" x14ac:dyDescent="0.3">
      <c r="K239" s="95"/>
    </row>
    <row r="240" spans="11:11" ht="15" customHeight="1" x14ac:dyDescent="0.3">
      <c r="K240" s="95"/>
    </row>
    <row r="241" spans="11:11" ht="15" customHeight="1" x14ac:dyDescent="0.3">
      <c r="K241" s="95"/>
    </row>
    <row r="242" spans="11:11" ht="15" customHeight="1" x14ac:dyDescent="0.3">
      <c r="K242" s="95"/>
    </row>
    <row r="243" spans="11:11" ht="15" customHeight="1" x14ac:dyDescent="0.3">
      <c r="K243" s="95"/>
    </row>
    <row r="244" spans="11:11" ht="15" customHeight="1" x14ac:dyDescent="0.3">
      <c r="K244" s="95"/>
    </row>
    <row r="245" spans="11:11" ht="15" customHeight="1" x14ac:dyDescent="0.3">
      <c r="K245" s="95"/>
    </row>
    <row r="246" spans="11:11" ht="15" customHeight="1" x14ac:dyDescent="0.3">
      <c r="K246" s="95"/>
    </row>
    <row r="247" spans="11:11" ht="15" customHeight="1" x14ac:dyDescent="0.3">
      <c r="K247" s="95"/>
    </row>
    <row r="248" spans="11:11" ht="15" customHeight="1" x14ac:dyDescent="0.3">
      <c r="K248" s="95"/>
    </row>
    <row r="249" spans="11:11" ht="15" customHeight="1" x14ac:dyDescent="0.3">
      <c r="K249" s="95"/>
    </row>
    <row r="250" spans="11:11" ht="15" customHeight="1" x14ac:dyDescent="0.3">
      <c r="K250" s="95"/>
    </row>
    <row r="251" spans="11:11" ht="15" customHeight="1" x14ac:dyDescent="0.3">
      <c r="K251" s="95"/>
    </row>
    <row r="252" spans="11:11" ht="15" customHeight="1" x14ac:dyDescent="0.3">
      <c r="K252" s="95"/>
    </row>
    <row r="253" spans="11:11" ht="15" customHeight="1" x14ac:dyDescent="0.3">
      <c r="K253" s="95"/>
    </row>
    <row r="254" spans="11:11" ht="15" customHeight="1" x14ac:dyDescent="0.3">
      <c r="K254" s="95"/>
    </row>
    <row r="255" spans="11:11" ht="15" customHeight="1" x14ac:dyDescent="0.3">
      <c r="K255" s="95"/>
    </row>
    <row r="256" spans="11:11" ht="15" customHeight="1" x14ac:dyDescent="0.3">
      <c r="K256" s="95"/>
    </row>
    <row r="257" spans="11:11" ht="15" customHeight="1" x14ac:dyDescent="0.3">
      <c r="K257" s="95"/>
    </row>
    <row r="258" spans="11:11" ht="15" customHeight="1" x14ac:dyDescent="0.3">
      <c r="K258" s="95"/>
    </row>
    <row r="259" spans="11:11" ht="15" customHeight="1" x14ac:dyDescent="0.3">
      <c r="K259" s="95"/>
    </row>
    <row r="260" spans="11:11" ht="15" customHeight="1" x14ac:dyDescent="0.3">
      <c r="K260" s="95"/>
    </row>
    <row r="261" spans="11:11" ht="15" customHeight="1" x14ac:dyDescent="0.3">
      <c r="K261" s="95"/>
    </row>
    <row r="262" spans="11:11" ht="15" customHeight="1" x14ac:dyDescent="0.3">
      <c r="K262" s="95"/>
    </row>
    <row r="263" spans="11:11" ht="15" customHeight="1" x14ac:dyDescent="0.3">
      <c r="K263" s="95"/>
    </row>
    <row r="264" spans="11:11" ht="15" customHeight="1" x14ac:dyDescent="0.3">
      <c r="K264" s="95"/>
    </row>
    <row r="265" spans="11:11" ht="15" customHeight="1" x14ac:dyDescent="0.3">
      <c r="K265" s="95"/>
    </row>
    <row r="266" spans="11:11" ht="15" customHeight="1" x14ac:dyDescent="0.3">
      <c r="K266" s="95"/>
    </row>
    <row r="267" spans="11:11" ht="15" customHeight="1" x14ac:dyDescent="0.3">
      <c r="K267" s="95"/>
    </row>
    <row r="268" spans="11:11" ht="15" customHeight="1" x14ac:dyDescent="0.3">
      <c r="K268" s="95"/>
    </row>
    <row r="269" spans="11:11" ht="15" customHeight="1" x14ac:dyDescent="0.3">
      <c r="K269" s="95"/>
    </row>
    <row r="270" spans="11:11" ht="15" customHeight="1" x14ac:dyDescent="0.3">
      <c r="K270" s="95"/>
    </row>
    <row r="271" spans="11:11" ht="15" customHeight="1" x14ac:dyDescent="0.3">
      <c r="K271" s="95"/>
    </row>
    <row r="272" spans="11:11" ht="15" customHeight="1" x14ac:dyDescent="0.3">
      <c r="K272" s="95"/>
    </row>
    <row r="273" spans="11:11" ht="15" customHeight="1" x14ac:dyDescent="0.3">
      <c r="K273" s="95"/>
    </row>
    <row r="274" spans="11:11" ht="15" customHeight="1" x14ac:dyDescent="0.3">
      <c r="K274" s="95"/>
    </row>
    <row r="275" spans="11:11" ht="15" customHeight="1" x14ac:dyDescent="0.3">
      <c r="K275" s="95"/>
    </row>
    <row r="276" spans="11:11" ht="15" customHeight="1" x14ac:dyDescent="0.3">
      <c r="K276" s="95"/>
    </row>
    <row r="277" spans="11:11" ht="15" customHeight="1" x14ac:dyDescent="0.3">
      <c r="K277" s="95"/>
    </row>
    <row r="278" spans="11:11" ht="15" customHeight="1" x14ac:dyDescent="0.3">
      <c r="K278" s="95"/>
    </row>
    <row r="279" spans="11:11" ht="15" customHeight="1" x14ac:dyDescent="0.3">
      <c r="K279" s="95"/>
    </row>
    <row r="280" spans="11:11" ht="15" customHeight="1" x14ac:dyDescent="0.3">
      <c r="K280" s="95"/>
    </row>
    <row r="281" spans="11:11" ht="15" customHeight="1" x14ac:dyDescent="0.3">
      <c r="K281" s="95"/>
    </row>
    <row r="282" spans="11:11" ht="15" customHeight="1" x14ac:dyDescent="0.3">
      <c r="K282" s="95"/>
    </row>
  </sheetData>
  <mergeCells count="5">
    <mergeCell ref="Q39:S39"/>
    <mergeCell ref="E43:G44"/>
    <mergeCell ref="E45:G48"/>
    <mergeCell ref="J40:K40"/>
    <mergeCell ref="J41:K41"/>
  </mergeCells>
  <pageMargins left="0.75" right="0.75" top="1" bottom="1" header="0.5" footer="0.5"/>
  <pageSetup scale="14" orientation="portrait" horizontalDpi="4294967292" verticalDpi="4294967292" r:id="rId1"/>
  <headerFooter>
    <oddFooter>&amp;L&amp;"Helvetica,Regular"&amp;12&amp;K000000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Summary</vt:lpstr>
      <vt:lpstr>BCA Summary</vt:lpstr>
      <vt:lpstr>Initial Capital Cost</vt:lpstr>
      <vt:lpstr>Maintenance Costs</vt:lpstr>
      <vt:lpstr>Truck Elimination (Inbound)</vt:lpstr>
      <vt:lpstr>Rail Impact-Baseline (Inbound)</vt:lpstr>
      <vt:lpstr>Truck Elimination (Outbound)</vt:lpstr>
      <vt:lpstr>Rail Impact-Baseline (Outbound)</vt:lpstr>
      <vt:lpstr>Truck Elim (New Park Customers)</vt:lpstr>
      <vt:lpstr>Rail Base (New Park Customers)</vt:lpstr>
      <vt:lpstr>CO2 Net Savings</vt:lpstr>
      <vt:lpstr>BNSF Carbon Calculator</vt:lpstr>
      <vt:lpstr>Inbound Carload Projections</vt:lpstr>
      <vt:lpstr>Outbound Carload Projections</vt:lpstr>
      <vt:lpstr>New Park Customer Carload Proj.</vt:lpstr>
      <vt:lpstr>Distance</vt:lpstr>
      <vt:lpstr>'BCA Summary'!Print_Area</vt:lpstr>
      <vt:lpstr>'Inbound Carload Projections'!Print_Area</vt:lpstr>
      <vt:lpstr>'New Park Customer Carload Proj.'!Print_Area</vt:lpstr>
      <vt:lpstr>'Outbound Carload Projections'!Print_Area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Cumber, Husein</dc:creator>
  <cp:lastModifiedBy>JP Recht</cp:lastModifiedBy>
  <cp:lastPrinted>2021-11-03T17:33:22Z</cp:lastPrinted>
  <dcterms:created xsi:type="dcterms:W3CDTF">2014-04-25T18:08:06Z</dcterms:created>
  <dcterms:modified xsi:type="dcterms:W3CDTF">2022-11-23T17:46:44Z</dcterms:modified>
</cp:coreProperties>
</file>