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ler.backus\Downloads\"/>
    </mc:Choice>
  </mc:AlternateContent>
  <xr:revisionPtr revIDLastSave="0" documentId="8_{D19D05E3-8E60-4412-84A7-FC4802D363D9}" xr6:coauthVersionLast="41" xr6:coauthVersionMax="41" xr10:uidLastSave="{00000000-0000-0000-0000-000000000000}"/>
  <bookViews>
    <workbookView xWindow="-120" yWindow="-120" windowWidth="29040" windowHeight="15840" activeTab="3"/>
  </bookViews>
  <sheets>
    <sheet name="Page 1" sheetId="1" r:id="rId1"/>
    <sheet name="Page 2" sheetId="4" r:id="rId2"/>
    <sheet name="Page 3" sheetId="5" r:id="rId3"/>
    <sheet name="Page 4" sheetId="6" r:id="rId4"/>
    <sheet name="Page 5" sheetId="7" r:id="rId5"/>
    <sheet name="Page 6" sheetId="8" r:id="rId6"/>
  </sheets>
  <definedNames>
    <definedName name="_xlnm.Print_Area" localSheetId="0">'Page 1'!$A$1:$AQ$46</definedName>
    <definedName name="_xlnm.Print_Area" localSheetId="1">'Page 2'!$A$1:$T$50</definedName>
    <definedName name="_xlnm.Print_Area" localSheetId="2">'Page 3'!$A$1:$T$39</definedName>
    <definedName name="_xlnm.Print_Area" localSheetId="3">'Page 4'!$A$1:$R$51</definedName>
    <definedName name="_xlnm.Print_Area" localSheetId="4">'Page 5'!$A$1:$M$63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7" l="1"/>
  <c r="E57" i="7"/>
  <c r="D57" i="7"/>
  <c r="J56" i="7"/>
  <c r="E56" i="7"/>
  <c r="D56" i="7"/>
  <c r="J55" i="7"/>
  <c r="E55" i="7"/>
  <c r="D55" i="7"/>
  <c r="J54" i="7"/>
  <c r="E54" i="7"/>
  <c r="D54" i="7"/>
  <c r="J53" i="7"/>
  <c r="E53" i="7"/>
  <c r="D53" i="7"/>
  <c r="J52" i="7"/>
  <c r="E52" i="7"/>
  <c r="D52" i="7"/>
  <c r="M57" i="7"/>
  <c r="M56" i="7"/>
  <c r="M55" i="7"/>
  <c r="M54" i="7"/>
  <c r="M53" i="7"/>
  <c r="M52" i="7"/>
  <c r="M51" i="7"/>
  <c r="P29" i="6"/>
  <c r="P28" i="6"/>
  <c r="P27" i="6"/>
  <c r="P36" i="6"/>
  <c r="P35" i="6"/>
  <c r="P34" i="6"/>
  <c r="P33" i="6"/>
  <c r="P32" i="6"/>
  <c r="P31" i="6"/>
  <c r="P30" i="6"/>
  <c r="M44" i="6"/>
  <c r="M50" i="6"/>
  <c r="M49" i="6"/>
  <c r="M48" i="6"/>
  <c r="E79" i="7" s="1"/>
  <c r="M47" i="6"/>
  <c r="M46" i="6"/>
  <c r="M45" i="6"/>
  <c r="E76" i="7" s="1"/>
  <c r="E80" i="7"/>
  <c r="E78" i="7"/>
  <c r="K19" i="6"/>
  <c r="K13" i="6"/>
  <c r="B57" i="7"/>
  <c r="B56" i="7"/>
  <c r="B55" i="7"/>
  <c r="B54" i="7"/>
  <c r="B53" i="7"/>
  <c r="B52" i="7"/>
  <c r="B51" i="7"/>
  <c r="B50" i="7"/>
  <c r="B49" i="7"/>
  <c r="B48" i="7"/>
  <c r="B72" i="7" s="1"/>
  <c r="C41" i="6"/>
  <c r="C50" i="6"/>
  <c r="C49" i="6"/>
  <c r="C48" i="6"/>
  <c r="C47" i="6"/>
  <c r="C46" i="6"/>
  <c r="C45" i="6"/>
  <c r="C44" i="6"/>
  <c r="C43" i="6"/>
  <c r="C42" i="6"/>
  <c r="C27" i="6"/>
  <c r="C36" i="6"/>
  <c r="C35" i="6"/>
  <c r="C34" i="6"/>
  <c r="C33" i="6"/>
  <c r="C32" i="6"/>
  <c r="C31" i="6"/>
  <c r="C30" i="6"/>
  <c r="C29" i="6"/>
  <c r="C28" i="6"/>
  <c r="E77" i="7"/>
  <c r="E81" i="7"/>
  <c r="G22" i="6"/>
  <c r="G21" i="6"/>
  <c r="G20" i="6"/>
  <c r="I20" i="6" s="1"/>
  <c r="G19" i="6"/>
  <c r="G18" i="6"/>
  <c r="G17" i="6"/>
  <c r="G16" i="6"/>
  <c r="K16" i="6" s="1"/>
  <c r="G13" i="6"/>
  <c r="Q11" i="5"/>
  <c r="Q16" i="5"/>
  <c r="G59" i="7"/>
  <c r="M15" i="7" s="1"/>
  <c r="K15" i="7" s="1"/>
  <c r="G30" i="6"/>
  <c r="G29" i="6"/>
  <c r="A7" i="7"/>
  <c r="H14" i="4"/>
  <c r="F14" i="4"/>
  <c r="E14" i="4"/>
  <c r="F87" i="7"/>
  <c r="J87" i="7"/>
  <c r="E37" i="6"/>
  <c r="E23" i="6"/>
  <c r="G15" i="6" s="1"/>
  <c r="I15" i="6" s="1"/>
  <c r="Q28" i="5"/>
  <c r="N13" i="1"/>
  <c r="I59" i="7"/>
  <c r="G28" i="6"/>
  <c r="B73" i="7"/>
  <c r="AE12" i="1"/>
  <c r="AJ12" i="1"/>
  <c r="AA22" i="1"/>
  <c r="AE11" i="1"/>
  <c r="AJ11" i="1"/>
  <c r="S7" i="4"/>
  <c r="G107" i="7"/>
  <c r="Q27" i="5"/>
  <c r="H32" i="8"/>
  <c r="Q26" i="5"/>
  <c r="H87" i="7"/>
  <c r="I93" i="7"/>
  <c r="I94" i="7"/>
  <c r="H17" i="4"/>
  <c r="H40" i="4"/>
  <c r="F27" i="4"/>
  <c r="G100" i="7"/>
  <c r="G101" i="7" s="1"/>
  <c r="K13" i="4"/>
  <c r="K12" i="4"/>
  <c r="Q25" i="5"/>
  <c r="Q24" i="5"/>
  <c r="H14" i="8"/>
  <c r="G34" i="5"/>
  <c r="G35" i="5"/>
  <c r="G33" i="5"/>
  <c r="V30" i="4"/>
  <c r="W30" i="4"/>
  <c r="A7" i="8"/>
  <c r="E7" i="8"/>
  <c r="G7" i="7"/>
  <c r="A7" i="6"/>
  <c r="F7" i="6"/>
  <c r="A7" i="5"/>
  <c r="H7" i="5"/>
  <c r="G7" i="4"/>
  <c r="A7" i="4"/>
  <c r="K7" i="8"/>
  <c r="M7" i="7"/>
  <c r="R7" i="6"/>
  <c r="S7" i="5"/>
  <c r="N31" i="5"/>
  <c r="K31" i="5"/>
  <c r="J36" i="8"/>
  <c r="AH13" i="1"/>
  <c r="AH38" i="1"/>
  <c r="AQ38" i="1"/>
  <c r="H19" i="4"/>
  <c r="H39" i="4"/>
  <c r="Q39" i="4"/>
  <c r="H18" i="4"/>
  <c r="H35" i="4"/>
  <c r="Q35" i="4"/>
  <c r="F36" i="8"/>
  <c r="Y13" i="1"/>
  <c r="R16" i="1"/>
  <c r="S13" i="1"/>
  <c r="K16" i="1"/>
  <c r="D93" i="7"/>
  <c r="H38" i="4"/>
  <c r="Q38" i="4"/>
  <c r="H26" i="8"/>
  <c r="H20" i="8"/>
  <c r="D16" i="1"/>
  <c r="AE13" i="1"/>
  <c r="Z32" i="1"/>
  <c r="AP32" i="1"/>
  <c r="P37" i="6"/>
  <c r="H36" i="8"/>
  <c r="Q31" i="5"/>
  <c r="Q37" i="5"/>
  <c r="K29" i="4"/>
  <c r="K30" i="4"/>
  <c r="K31" i="4"/>
  <c r="F28" i="4"/>
  <c r="H27" i="4"/>
  <c r="H43" i="4"/>
  <c r="D94" i="7"/>
  <c r="J94" i="7" s="1"/>
  <c r="H28" i="4"/>
  <c r="H44" i="4"/>
  <c r="H36" i="4"/>
  <c r="Q36" i="4"/>
  <c r="K14" i="4"/>
  <c r="H34" i="4"/>
  <c r="H26" i="4"/>
  <c r="H42" i="4"/>
  <c r="AA20" i="1"/>
  <c r="F17" i="1"/>
  <c r="M18" i="1"/>
  <c r="T19" i="1"/>
  <c r="F20" i="1"/>
  <c r="M21" i="1"/>
  <c r="T22" i="1"/>
  <c r="F21" i="1"/>
  <c r="M22" i="1"/>
  <c r="T23" i="1"/>
  <c r="M17" i="1"/>
  <c r="K17" i="1"/>
  <c r="T18" i="1"/>
  <c r="AA19" i="1"/>
  <c r="AA23" i="1"/>
  <c r="F18" i="1"/>
  <c r="F22" i="1"/>
  <c r="M19" i="1"/>
  <c r="M23" i="1"/>
  <c r="T20" i="1"/>
  <c r="R20" i="1"/>
  <c r="AA17" i="1"/>
  <c r="Y17" i="1"/>
  <c r="AA21" i="1"/>
  <c r="F19" i="1"/>
  <c r="F23" i="1"/>
  <c r="M20" i="1"/>
  <c r="K20" i="1"/>
  <c r="T17" i="1"/>
  <c r="T21" i="1"/>
  <c r="AA18" i="1"/>
  <c r="AH34" i="1"/>
  <c r="AQ34" i="1"/>
  <c r="AH36" i="1"/>
  <c r="AQ36" i="1"/>
  <c r="AH33" i="1"/>
  <c r="AQ33" i="1"/>
  <c r="Y16" i="1"/>
  <c r="AF16" i="1"/>
  <c r="AJ16" i="1"/>
  <c r="R21" i="1"/>
  <c r="AH35" i="1"/>
  <c r="AQ35" i="1"/>
  <c r="AH32" i="1"/>
  <c r="AQ32" i="1"/>
  <c r="AQ44" i="1"/>
  <c r="AH37" i="1"/>
  <c r="AQ37" i="1"/>
  <c r="Y20" i="1"/>
  <c r="R17" i="1"/>
  <c r="D17" i="1"/>
  <c r="D20" i="1"/>
  <c r="AP44" i="1"/>
  <c r="Z36" i="1"/>
  <c r="AP36" i="1"/>
  <c r="AJ13" i="1"/>
  <c r="AE14" i="1"/>
  <c r="Z34" i="1"/>
  <c r="AP34" i="1"/>
  <c r="Z37" i="1"/>
  <c r="AP37" i="1"/>
  <c r="Z38" i="1"/>
  <c r="AP38" i="1"/>
  <c r="Z33" i="1"/>
  <c r="AP33" i="1"/>
  <c r="Z35" i="1"/>
  <c r="AP35" i="1"/>
  <c r="H37" i="4"/>
  <c r="Q37" i="4"/>
  <c r="Q34" i="4"/>
  <c r="AF20" i="1"/>
  <c r="AJ20" i="1"/>
  <c r="AN20" i="1"/>
  <c r="AP20" i="1"/>
  <c r="AQ20" i="1"/>
  <c r="R18" i="1"/>
  <c r="G102" i="7"/>
  <c r="AN16" i="1"/>
  <c r="AP16" i="1"/>
  <c r="AQ16" i="1"/>
  <c r="D18" i="1"/>
  <c r="Y18" i="1"/>
  <c r="K18" i="1"/>
  <c r="Y21" i="1"/>
  <c r="K21" i="1"/>
  <c r="D21" i="1"/>
  <c r="AF17" i="1"/>
  <c r="AJ17" i="1"/>
  <c r="Y22" i="1"/>
  <c r="AH14" i="1"/>
  <c r="AJ14" i="1"/>
  <c r="R19" i="1"/>
  <c r="AF18" i="1"/>
  <c r="AJ18" i="1"/>
  <c r="Y23" i="1"/>
  <c r="AF21" i="1"/>
  <c r="AJ21" i="1"/>
  <c r="AN21" i="1"/>
  <c r="AP21" i="1"/>
  <c r="AQ21" i="1"/>
  <c r="AH27" i="1"/>
  <c r="AQ27" i="1"/>
  <c r="R22" i="1"/>
  <c r="R23" i="1"/>
  <c r="Y19" i="1"/>
  <c r="D23" i="1"/>
  <c r="D22" i="1"/>
  <c r="K22" i="1"/>
  <c r="D19" i="1"/>
  <c r="AN17" i="1"/>
  <c r="AP17" i="1"/>
  <c r="AQ17" i="1"/>
  <c r="K19" i="1"/>
  <c r="K23" i="1"/>
  <c r="AN18" i="1"/>
  <c r="AP18" i="1"/>
  <c r="AQ18" i="1"/>
  <c r="Z27" i="1"/>
  <c r="AP27" i="1"/>
  <c r="AF23" i="1"/>
  <c r="AJ23" i="1"/>
  <c r="AN23" i="1"/>
  <c r="AP23" i="1"/>
  <c r="Z29" i="1"/>
  <c r="AP29" i="1"/>
  <c r="AF19" i="1"/>
  <c r="AJ19" i="1"/>
  <c r="AN19" i="1"/>
  <c r="AP19" i="1"/>
  <c r="AF22" i="1"/>
  <c r="AJ22" i="1"/>
  <c r="AN22" i="1"/>
  <c r="AP22" i="1"/>
  <c r="Z28" i="1"/>
  <c r="AP28" i="1"/>
  <c r="AQ23" i="1"/>
  <c r="AH29" i="1"/>
  <c r="AQ29" i="1"/>
  <c r="Z26" i="1"/>
  <c r="AP26" i="1"/>
  <c r="AQ22" i="1"/>
  <c r="AH28" i="1"/>
  <c r="AQ28" i="1"/>
  <c r="AQ19" i="1"/>
  <c r="AT41" i="1"/>
  <c r="AU41" i="1"/>
  <c r="AP41" i="1"/>
  <c r="AP43" i="1"/>
  <c r="AP45" i="1"/>
  <c r="N21" i="4"/>
  <c r="Q21" i="4"/>
  <c r="AH26" i="1"/>
  <c r="AQ26" i="1"/>
  <c r="AV41" i="1"/>
  <c r="AW41" i="1"/>
  <c r="AQ41" i="1"/>
  <c r="N42" i="4"/>
  <c r="Q42" i="4"/>
  <c r="N40" i="4"/>
  <c r="Q40" i="4"/>
  <c r="N17" i="4"/>
  <c r="Q17" i="4"/>
  <c r="N41" i="4"/>
  <c r="Q41" i="4"/>
  <c r="AQ43" i="1"/>
  <c r="AQ45" i="1"/>
  <c r="N23" i="4"/>
  <c r="Q23" i="4"/>
  <c r="N22" i="4"/>
  <c r="Q22" i="4"/>
  <c r="N30" i="4"/>
  <c r="Q30" i="4"/>
  <c r="G93" i="7"/>
  <c r="N26" i="4"/>
  <c r="Q26" i="4"/>
  <c r="N43" i="4"/>
  <c r="Q43" i="4"/>
  <c r="N18" i="4"/>
  <c r="Q18" i="4"/>
  <c r="N27" i="4"/>
  <c r="N19" i="4"/>
  <c r="Q19" i="4"/>
  <c r="N44" i="4"/>
  <c r="Q44" i="4"/>
  <c r="N28" i="4"/>
  <c r="Q28" i="4"/>
  <c r="N31" i="4"/>
  <c r="Q31" i="4"/>
  <c r="N20" i="4"/>
  <c r="Q20" i="4"/>
  <c r="G94" i="7"/>
  <c r="Q27" i="4"/>
  <c r="V47" i="4"/>
  <c r="N29" i="4"/>
  <c r="Q29" i="4"/>
  <c r="G106" i="7"/>
  <c r="G108" i="7"/>
  <c r="Q50" i="4"/>
  <c r="I40" i="7"/>
  <c r="Q20" i="5"/>
  <c r="Q39" i="5"/>
  <c r="G14" i="6" l="1"/>
  <c r="K20" i="6"/>
  <c r="P20" i="6" s="1"/>
  <c r="K22" i="6"/>
  <c r="D81" i="7" s="1"/>
  <c r="K21" i="6"/>
  <c r="D80" i="7" s="1"/>
  <c r="K18" i="6"/>
  <c r="D77" i="7" s="1"/>
  <c r="K17" i="6"/>
  <c r="D76" i="7" s="1"/>
  <c r="D78" i="7"/>
  <c r="I78" i="7" s="1"/>
  <c r="I22" i="6"/>
  <c r="I21" i="6"/>
  <c r="P21" i="6" s="1"/>
  <c r="D79" i="7"/>
  <c r="I79" i="7" s="1"/>
  <c r="I19" i="6"/>
  <c r="P19" i="6" s="1"/>
  <c r="I18" i="6"/>
  <c r="I17" i="6"/>
  <c r="P17" i="6" s="1"/>
  <c r="B74" i="7"/>
  <c r="B75" i="7"/>
  <c r="J93" i="7"/>
  <c r="J95" i="7" s="1"/>
  <c r="K15" i="6"/>
  <c r="D74" i="7" s="1"/>
  <c r="I74" i="7" s="1"/>
  <c r="J74" i="7" s="1"/>
  <c r="I13" i="6"/>
  <c r="D72" i="7"/>
  <c r="I72" i="7" s="1"/>
  <c r="J72" i="7" s="1"/>
  <c r="P15" i="6"/>
  <c r="I48" i="6" l="1"/>
  <c r="K48" i="6"/>
  <c r="I14" i="6"/>
  <c r="K14" i="6"/>
  <c r="D73" i="7" s="1"/>
  <c r="I47" i="6"/>
  <c r="K47" i="6"/>
  <c r="K45" i="6"/>
  <c r="I45" i="6"/>
  <c r="K49" i="6"/>
  <c r="I49" i="6"/>
  <c r="F78" i="7"/>
  <c r="P18" i="6"/>
  <c r="P22" i="6"/>
  <c r="I81" i="7"/>
  <c r="F81" i="7"/>
  <c r="H81" i="7"/>
  <c r="G81" i="7"/>
  <c r="J81" i="7"/>
  <c r="I80" i="7"/>
  <c r="J80" i="7"/>
  <c r="K80" i="7" s="1"/>
  <c r="M80" i="7" s="1"/>
  <c r="N80" i="7" s="1"/>
  <c r="O80" i="7" s="1"/>
  <c r="G80" i="7"/>
  <c r="H80" i="7"/>
  <c r="F80" i="7"/>
  <c r="H78" i="7"/>
  <c r="G78" i="7"/>
  <c r="J78" i="7"/>
  <c r="K78" i="7" s="1"/>
  <c r="M78" i="7" s="1"/>
  <c r="N78" i="7" s="1"/>
  <c r="I77" i="7"/>
  <c r="F77" i="7"/>
  <c r="H77" i="7"/>
  <c r="J77" i="7"/>
  <c r="G77" i="7"/>
  <c r="I76" i="7"/>
  <c r="G76" i="7"/>
  <c r="H76" i="7"/>
  <c r="J76" i="7"/>
  <c r="K76" i="7" s="1"/>
  <c r="M76" i="7" s="1"/>
  <c r="N76" i="7" s="1"/>
  <c r="F76" i="7"/>
  <c r="F79" i="7"/>
  <c r="J79" i="7"/>
  <c r="G79" i="7"/>
  <c r="H79" i="7"/>
  <c r="K77" i="7"/>
  <c r="M77" i="7" s="1"/>
  <c r="N77" i="7" s="1"/>
  <c r="K81" i="7"/>
  <c r="M81" i="7" s="1"/>
  <c r="N81" i="7" s="1"/>
  <c r="G72" i="7"/>
  <c r="K72" i="7" s="1"/>
  <c r="M72" i="7" s="1"/>
  <c r="G74" i="7"/>
  <c r="P13" i="6"/>
  <c r="D75" i="7"/>
  <c r="I16" i="6"/>
  <c r="P16" i="6" s="1"/>
  <c r="I44" i="6" s="1"/>
  <c r="J51" i="7" s="1"/>
  <c r="G23" i="6"/>
  <c r="K74" i="7"/>
  <c r="M74" i="7" s="1"/>
  <c r="I43" i="6"/>
  <c r="K43" i="6"/>
  <c r="M43" i="6" s="1"/>
  <c r="K46" i="6" l="1"/>
  <c r="I46" i="6"/>
  <c r="G73" i="7"/>
  <c r="I73" i="7"/>
  <c r="J73" i="7" s="1"/>
  <c r="K73" i="7" s="1"/>
  <c r="M73" i="7" s="1"/>
  <c r="P14" i="6"/>
  <c r="K23" i="6"/>
  <c r="K50" i="6"/>
  <c r="I50" i="6"/>
  <c r="P80" i="7"/>
  <c r="Q80" i="7" s="1"/>
  <c r="R80" i="7" s="1"/>
  <c r="S80" i="7" s="1"/>
  <c r="T80" i="7" s="1"/>
  <c r="F75" i="7"/>
  <c r="O81" i="7"/>
  <c r="P81" i="7"/>
  <c r="K79" i="7"/>
  <c r="M79" i="7" s="1"/>
  <c r="N79" i="7" s="1"/>
  <c r="P76" i="7"/>
  <c r="O76" i="7"/>
  <c r="O78" i="7"/>
  <c r="P78" i="7"/>
  <c r="O77" i="7"/>
  <c r="P77" i="7"/>
  <c r="K44" i="6"/>
  <c r="G75" i="7"/>
  <c r="I75" i="7"/>
  <c r="J75" i="7" s="1"/>
  <c r="K75" i="7" s="1"/>
  <c r="P23" i="6"/>
  <c r="E75" i="7"/>
  <c r="I23" i="6"/>
  <c r="K41" i="6"/>
  <c r="M41" i="6" s="1"/>
  <c r="I41" i="6"/>
  <c r="P43" i="6"/>
  <c r="H74" i="7" s="1"/>
  <c r="N74" i="7" s="1"/>
  <c r="E74" i="7"/>
  <c r="J50" i="7"/>
  <c r="F74" i="7"/>
  <c r="P44" i="6" l="1"/>
  <c r="H75" i="7" s="1"/>
  <c r="K42" i="6"/>
  <c r="K51" i="6" s="1"/>
  <c r="R44" i="6" s="1"/>
  <c r="I42" i="6"/>
  <c r="I51" i="6"/>
  <c r="I11" i="7" s="1"/>
  <c r="I18" i="7" s="1"/>
  <c r="I33" i="7" s="1"/>
  <c r="I35" i="7" s="1"/>
  <c r="Q76" i="7"/>
  <c r="R76" i="7" s="1"/>
  <c r="S76" i="7" s="1"/>
  <c r="T76" i="7" s="1"/>
  <c r="Q81" i="7"/>
  <c r="R81" i="7" s="1"/>
  <c r="S81" i="7" s="1"/>
  <c r="T81" i="7" s="1"/>
  <c r="P79" i="7"/>
  <c r="O79" i="7"/>
  <c r="Q79" i="7" s="1"/>
  <c r="R79" i="7" s="1"/>
  <c r="S79" i="7" s="1"/>
  <c r="T79" i="7" s="1"/>
  <c r="Q77" i="7"/>
  <c r="R77" i="7" s="1"/>
  <c r="S77" i="7" s="1"/>
  <c r="T77" i="7" s="1"/>
  <c r="Q78" i="7"/>
  <c r="R78" i="7" s="1"/>
  <c r="S78" i="7" s="1"/>
  <c r="T78" i="7" s="1"/>
  <c r="M75" i="7"/>
  <c r="N75" i="7" s="1"/>
  <c r="P75" i="7" s="1"/>
  <c r="F72" i="7"/>
  <c r="J48" i="7"/>
  <c r="E72" i="7"/>
  <c r="P41" i="6"/>
  <c r="H72" i="7" s="1"/>
  <c r="N72" i="7" s="1"/>
  <c r="P72" i="7" s="1"/>
  <c r="O74" i="7"/>
  <c r="P74" i="7"/>
  <c r="R47" i="6" l="1"/>
  <c r="R43" i="6"/>
  <c r="R50" i="6"/>
  <c r="R46" i="6"/>
  <c r="R42" i="6"/>
  <c r="R49" i="6"/>
  <c r="R45" i="6"/>
  <c r="R41" i="6"/>
  <c r="R48" i="6"/>
  <c r="J49" i="7"/>
  <c r="J59" i="7" s="1"/>
  <c r="F73" i="7"/>
  <c r="M42" i="6"/>
  <c r="E73" i="7" s="1"/>
  <c r="P42" i="6"/>
  <c r="R75" i="7"/>
  <c r="O75" i="7"/>
  <c r="Q75" i="7" s="1"/>
  <c r="S75" i="7"/>
  <c r="T75" i="7" s="1"/>
  <c r="D51" i="7" s="1"/>
  <c r="O72" i="7"/>
  <c r="Q72" i="7" s="1"/>
  <c r="R72" i="7" s="1"/>
  <c r="S72" i="7" s="1"/>
  <c r="T72" i="7" s="1"/>
  <c r="D48" i="7" s="1"/>
  <c r="K11" i="7"/>
  <c r="M51" i="6"/>
  <c r="Q74" i="7"/>
  <c r="R74" i="7" s="1"/>
  <c r="S74" i="7" s="1"/>
  <c r="T74" i="7" s="1"/>
  <c r="D50" i="7" s="1"/>
  <c r="H73" i="7" l="1"/>
  <c r="N73" i="7" s="1"/>
  <c r="P51" i="6"/>
  <c r="R51" i="6"/>
  <c r="M11" i="7"/>
  <c r="J37" i="7"/>
  <c r="P73" i="7" l="1"/>
  <c r="O73" i="7"/>
  <c r="Q73" i="7" s="1"/>
  <c r="R73" i="7"/>
  <c r="S73" i="7"/>
  <c r="T73" i="7" s="1"/>
  <c r="D49" i="7" s="1"/>
  <c r="M12" i="7" s="1"/>
  <c r="K12" i="7" s="1"/>
  <c r="M37" i="7"/>
  <c r="M13" i="7"/>
  <c r="M14" i="7" l="1"/>
  <c r="E49" i="7"/>
  <c r="E50" i="7"/>
  <c r="K13" i="7"/>
  <c r="E51" i="7"/>
  <c r="E48" i="7"/>
  <c r="F48" i="7"/>
  <c r="F51" i="7"/>
  <c r="F50" i="7"/>
  <c r="K14" i="7"/>
  <c r="F49" i="7"/>
  <c r="G103" i="7"/>
  <c r="G104" i="7" s="1"/>
  <c r="M16" i="7" s="1"/>
  <c r="H54" i="7" l="1"/>
  <c r="H57" i="7"/>
  <c r="H53" i="7"/>
  <c r="H56" i="7"/>
  <c r="H52" i="7"/>
  <c r="H55" i="7"/>
  <c r="F55" i="7"/>
  <c r="K55" i="7" s="1"/>
  <c r="F54" i="7"/>
  <c r="K54" i="7" s="1"/>
  <c r="F57" i="7"/>
  <c r="F53" i="7"/>
  <c r="F56" i="7"/>
  <c r="F52" i="7"/>
  <c r="K52" i="7" s="1"/>
  <c r="H51" i="7"/>
  <c r="K51" i="7" s="1"/>
  <c r="H48" i="7"/>
  <c r="K48" i="7" s="1"/>
  <c r="M48" i="7" s="1"/>
  <c r="H49" i="7"/>
  <c r="K49" i="7" s="1"/>
  <c r="M49" i="7" s="1"/>
  <c r="K16" i="7"/>
  <c r="K18" i="7" s="1"/>
  <c r="H50" i="7"/>
  <c r="K50" i="7" s="1"/>
  <c r="M50" i="7" s="1"/>
  <c r="M18" i="7"/>
  <c r="K56" i="7" l="1"/>
  <c r="K53" i="7"/>
  <c r="K59" i="7" s="1"/>
  <c r="K57" i="7"/>
  <c r="J38" i="7"/>
  <c r="K33" i="7"/>
  <c r="K35" i="7" s="1"/>
  <c r="M33" i="7"/>
  <c r="M38" i="7"/>
  <c r="L48" i="7" l="1"/>
  <c r="L49" i="7"/>
  <c r="L50" i="7"/>
  <c r="L51" i="7"/>
  <c r="M59" i="7"/>
  <c r="L54" i="7"/>
  <c r="L53" i="7"/>
  <c r="L56" i="7"/>
  <c r="L52" i="7"/>
  <c r="L57" i="7"/>
  <c r="L55" i="7"/>
  <c r="M35" i="7"/>
  <c r="D36" i="8"/>
  <c r="L59" i="7" l="1"/>
  <c r="D16" i="8"/>
  <c r="D22" i="8"/>
  <c r="D24" i="8"/>
  <c r="D30" i="8"/>
  <c r="D26" i="8"/>
  <c r="D20" i="8"/>
  <c r="D14" i="8"/>
  <c r="D18" i="8"/>
  <c r="D28" i="8"/>
  <c r="D32" i="8"/>
  <c r="D12" i="8"/>
  <c r="D34" i="8" l="1"/>
</calcChain>
</file>

<file path=xl/sharedStrings.xml><?xml version="1.0" encoding="utf-8"?>
<sst xmlns="http://schemas.openxmlformats.org/spreadsheetml/2006/main" count="890" uniqueCount="319">
  <si>
    <t>STATE OF MAINE</t>
  </si>
  <si>
    <t>DEPARTMENT OF EDUCATION</t>
  </si>
  <si>
    <t>AUGUSTA 04333</t>
  </si>
  <si>
    <t>STATE CALCULATION FOR FUNDING PUBLIC EDUCATION (PreK-12) REPORT</t>
  </si>
  <si>
    <t>Run Date</t>
  </si>
  <si>
    <t>Computation of EPS Rates:</t>
  </si>
  <si>
    <t>1)</t>
  </si>
  <si>
    <t>Attending Pupils</t>
  </si>
  <si>
    <t>2)</t>
  </si>
  <si>
    <t>3)</t>
  </si>
  <si>
    <t>6-8</t>
  </si>
  <si>
    <t>9-12</t>
  </si>
  <si>
    <t>Total</t>
  </si>
  <si>
    <t>Attending Counts:</t>
  </si>
  <si>
    <t>Section 1:</t>
  </si>
  <si>
    <t>Staff Positions:</t>
  </si>
  <si>
    <t>A)</t>
  </si>
  <si>
    <t>B)</t>
  </si>
  <si>
    <t>Teachers</t>
  </si>
  <si>
    <t>Guidance</t>
  </si>
  <si>
    <t>Librarians</t>
  </si>
  <si>
    <t>4)</t>
  </si>
  <si>
    <t>Health</t>
  </si>
  <si>
    <t>5)</t>
  </si>
  <si>
    <t>Education Technicians</t>
  </si>
  <si>
    <t>6)</t>
  </si>
  <si>
    <t>Library Technicians</t>
  </si>
  <si>
    <t>7)</t>
  </si>
  <si>
    <t>Clerical</t>
  </si>
  <si>
    <t>8)</t>
  </si>
  <si>
    <t>School Administration</t>
  </si>
  <si>
    <t>+</t>
  </si>
  <si>
    <t>=</t>
  </si>
  <si>
    <t>EPS FTE Total</t>
  </si>
  <si>
    <t>Actual FTE Total</t>
  </si>
  <si>
    <t>÷</t>
  </si>
  <si>
    <t>x</t>
  </si>
  <si>
    <r>
      <t xml:space="preserve">EPS </t>
    </r>
    <r>
      <rPr>
        <b/>
        <sz val="11"/>
        <color indexed="8"/>
        <rFont val="Calibri"/>
        <family val="2"/>
      </rPr>
      <t xml:space="preserve">÷ Actual </t>
    </r>
  </si>
  <si>
    <t>SAU Data in EPS Matrix</t>
  </si>
  <si>
    <t>Adjusted EPS Salary</t>
  </si>
  <si>
    <t>Elementary Salary</t>
  </si>
  <si>
    <t>Secondary Salary</t>
  </si>
  <si>
    <t>C)</t>
  </si>
  <si>
    <t>Teachers, Guidance, Librarians &amp; Health</t>
  </si>
  <si>
    <t>Education &amp; Library Technicians</t>
  </si>
  <si>
    <t>School Administrators</t>
  </si>
  <si>
    <t>Percentage</t>
  </si>
  <si>
    <t>Elementary Benefits</t>
  </si>
  <si>
    <t>Secondary Benefits</t>
  </si>
  <si>
    <t>D)</t>
  </si>
  <si>
    <t>Other Support Per-Pupil Costs:</t>
  </si>
  <si>
    <t>Computation of Benefits:</t>
  </si>
  <si>
    <t>Substitute Teachers (1/2 Day)</t>
  </si>
  <si>
    <t>Supplies and Equipment</t>
  </si>
  <si>
    <t>Professional Development</t>
  </si>
  <si>
    <t>Instructional Leadership Support</t>
  </si>
  <si>
    <t>Co- and Extra-Curricular Student</t>
  </si>
  <si>
    <t>Operations &amp; Maintenance</t>
  </si>
  <si>
    <t>Elementary Support</t>
  </si>
  <si>
    <t>Secondary Support</t>
  </si>
  <si>
    <t>E)</t>
  </si>
  <si>
    <t>Other Adjustments</t>
  </si>
  <si>
    <t>Calculated EPS Rates Per Pupil</t>
  </si>
  <si>
    <t xml:space="preserve"> 6-8          EPS FTE</t>
  </si>
  <si>
    <t xml:space="preserve"> 9-12 EPS FTE</t>
  </si>
  <si>
    <t>Regional Index =</t>
  </si>
  <si>
    <t>Elementary Students</t>
  </si>
  <si>
    <t>Secondary Students</t>
  </si>
  <si>
    <t>Divided by Attending Pupils</t>
  </si>
  <si>
    <t>Regional Adjustment for Staff &amp; Substitute Salaries</t>
  </si>
  <si>
    <t>PreK-8</t>
  </si>
  <si>
    <t>Page 1</t>
  </si>
  <si>
    <t>Page 2</t>
  </si>
  <si>
    <t>Section 2:</t>
  </si>
  <si>
    <t>Subsidizable Pupils (includes Superintendent Transfers)</t>
  </si>
  <si>
    <t>Basic Counts</t>
  </si>
  <si>
    <t>9-12 Pupils</t>
  </si>
  <si>
    <t>Adult Education Courses at .1</t>
  </si>
  <si>
    <t>PreK-8 Equiv. Instruction Pupils</t>
  </si>
  <si>
    <t>9-12 Equiv. Instruction Pupils</t>
  </si>
  <si>
    <t>SAU EPS Rates from Page 1</t>
  </si>
  <si>
    <t>Weighted Counts</t>
  </si>
  <si>
    <t>9-12 Disadvantaged @</t>
  </si>
  <si>
    <t>9-12 Limited English Prof.</t>
  </si>
  <si>
    <t>Pupils</t>
  </si>
  <si>
    <t>EPS Weights</t>
  </si>
  <si>
    <t>Targeted Funds</t>
  </si>
  <si>
    <t>9-12 Student Assessment</t>
  </si>
  <si>
    <t>9-12 Technology Resources</t>
  </si>
  <si>
    <t>EPS Targeted Amount</t>
  </si>
  <si>
    <t>Basic Cost Allocations</t>
  </si>
  <si>
    <t>Weighted Cost Allocations</t>
  </si>
  <si>
    <t>Targeted Cost Allocations</t>
  </si>
  <si>
    <t>Isolated Small School Adjustment</t>
  </si>
  <si>
    <t>Operating Cost Allocations</t>
  </si>
  <si>
    <t>Operating Allocation Total</t>
  </si>
  <si>
    <t>Totals</t>
  </si>
  <si>
    <t>Page 3</t>
  </si>
  <si>
    <t>Section 3:</t>
  </si>
  <si>
    <t>Other Allocations</t>
  </si>
  <si>
    <t>Other Subsidizable Costs</t>
  </si>
  <si>
    <t>Inflation Adjustment</t>
  </si>
  <si>
    <t>Base Year Expenditure</t>
  </si>
  <si>
    <t>Special Education - EPS Allocation</t>
  </si>
  <si>
    <t>Transportation Operating - EPS Allocation</t>
  </si>
  <si>
    <t>Total Other Subsidizable Costs</t>
  </si>
  <si>
    <t>Debt Service Allocations</t>
  </si>
  <si>
    <t>Interest</t>
  </si>
  <si>
    <t>Principal</t>
  </si>
  <si>
    <t>Total Debt Service Allocation</t>
  </si>
  <si>
    <t>Name of Project</t>
  </si>
  <si>
    <t xml:space="preserve">Student to Staff Ratio </t>
  </si>
  <si>
    <t>Student to Staff Ratio</t>
  </si>
  <si>
    <t>Payment Date</t>
  </si>
  <si>
    <t>Town/District</t>
  </si>
  <si>
    <t>Total Debt Service Principal &amp; Interest Payments</t>
  </si>
  <si>
    <t>Page 4</t>
  </si>
  <si>
    <t>Section 4:</t>
  </si>
  <si>
    <t>Calculation of Required Local Contribution - Mill Expectation</t>
  </si>
  <si>
    <t>Member Municipality</t>
  </si>
  <si>
    <t>Percentage of Total Pupils</t>
  </si>
  <si>
    <t>Subsidizable Pupils (excludes Superintendent Transfers for SADs, RSUs, &amp; CSDs) by Member Municipality</t>
  </si>
  <si>
    <t>Municipal Debt Allocation Distribution</t>
  </si>
  <si>
    <t>State Valuation by Member Municipality</t>
  </si>
  <si>
    <t>Mill Expectation</t>
  </si>
  <si>
    <t>Total Municipal Allocation Distribution as a Percentage of Pupils</t>
  </si>
  <si>
    <t>Total Municipal Allocation Distribution per Valuation x Mill Expectation</t>
  </si>
  <si>
    <t>Required Local Contribution by Municipality</t>
  </si>
  <si>
    <t>Calculated Mill Rate</t>
  </si>
  <si>
    <t>Required Local Contribution = the lesser of the previous two calculations:</t>
  </si>
  <si>
    <t>Page 5</t>
  </si>
  <si>
    <t>Section 5:</t>
  </si>
  <si>
    <t>Totals and Adjustments</t>
  </si>
  <si>
    <t>Total Allocation</t>
  </si>
  <si>
    <t>Local Contribution</t>
  </si>
  <si>
    <t>Total Allocation, Local Contribution, and State Contribution</t>
  </si>
  <si>
    <t>State Contribution</t>
  </si>
  <si>
    <r>
      <t xml:space="preserve">Adjustment for Debt Service Per 20-A MRSA </t>
    </r>
    <r>
      <rPr>
        <sz val="11"/>
        <color indexed="8"/>
        <rFont val="Calibri"/>
        <family val="2"/>
      </rPr>
      <t>§15689 sub-section 2</t>
    </r>
  </si>
  <si>
    <t>Totals after adjustments to Local and State Contributions</t>
  </si>
  <si>
    <t>Plus Audit Adjustments</t>
  </si>
  <si>
    <t>Less Audit Adjustments</t>
  </si>
  <si>
    <t>Less Adjustment for Unappropriated Local Contribution</t>
  </si>
  <si>
    <t>Plus Long-Term Drug Treatment Centers Adjustment</t>
  </si>
  <si>
    <t>Less Adjustment for Unallocated Balance in Excess of 3%</t>
  </si>
  <si>
    <t>Regionalization and Efficiency Assistance</t>
  </si>
  <si>
    <t>Bus Refurbishing Adjustment</t>
  </si>
  <si>
    <t>Less MaineCare Seed - Private</t>
  </si>
  <si>
    <t>9)</t>
  </si>
  <si>
    <t>Less MaineCare Seed - Public</t>
  </si>
  <si>
    <t>Adjusted State Contribution</t>
  </si>
  <si>
    <t>Other Adjustments to State Contribution</t>
  </si>
  <si>
    <t>Local and State Percentages Prior to Adjustments:</t>
  </si>
  <si>
    <t>Local Share % =</t>
  </si>
  <si>
    <t>State Share % =</t>
  </si>
  <si>
    <t>Local and State Percentages After Adjustments:</t>
  </si>
  <si>
    <t>FYI: 100% EPS Total Allocation</t>
  </si>
  <si>
    <t>Adjusted Local Contributions by Town</t>
  </si>
  <si>
    <t>Percent</t>
  </si>
  <si>
    <t>Mills</t>
  </si>
  <si>
    <t>****WARRANT ARTICLE****</t>
  </si>
  <si>
    <t>Totals after adjustments to Local Contributions</t>
  </si>
  <si>
    <t>Page 6</t>
  </si>
  <si>
    <t>SCHEDULED PAYMENTS &amp; YEAR TO DATE PAYMENTS</t>
  </si>
  <si>
    <t>MONTH</t>
  </si>
  <si>
    <t>SUBSIDY</t>
  </si>
  <si>
    <t>PAID TO DATE</t>
  </si>
  <si>
    <t>DEBT SERVICE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</si>
  <si>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</si>
  <si>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</si>
  <si>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</si>
  <si>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</si>
  <si>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</si>
  <si>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</si>
  <si>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</si>
  <si>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</si>
  <si>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</si>
  <si>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</si>
  <si>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</si>
  <si>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</si>
  <si>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-</t>
  </si>
  <si>
    <t>Total Allocation by Municipality</t>
  </si>
  <si>
    <t>)</t>
  </si>
  <si>
    <t>:</t>
  </si>
  <si>
    <t>(</t>
  </si>
  <si>
    <t>Other Calculations:</t>
  </si>
  <si>
    <t>Minimum Salary</t>
  </si>
  <si>
    <t>Reg. Adj. Calc. and Title I Rev.</t>
  </si>
  <si>
    <t>Tuition Unit Rates from ED 521T</t>
  </si>
  <si>
    <r>
      <t xml:space="preserve">State Contribution by Municipality </t>
    </r>
    <r>
      <rPr>
        <b/>
        <sz val="9"/>
        <color indexed="8"/>
        <rFont val="Calibri"/>
        <family val="2"/>
      </rPr>
      <t>(prior to adjustments)</t>
    </r>
  </si>
  <si>
    <t>Calculations for Section 5A adjustments - not shown on subsidy printout:</t>
  </si>
  <si>
    <t>A1) Debt Service Adjustment</t>
  </si>
  <si>
    <t>Lessor</t>
  </si>
  <si>
    <t>LEP Weight</t>
  </si>
  <si>
    <t>Weighted Elem EPS Per Pupil Rate _ excluded Assessment &amp; Technology</t>
  </si>
  <si>
    <t>A2) Minimum Special Education Adjustment</t>
  </si>
  <si>
    <t>EPS SPECIAL EDUCATION ALLOCATION</t>
  </si>
  <si>
    <t>FROM ED 279 Page 3(A)(3)</t>
  </si>
  <si>
    <t>Adjustment for Special Education Costs at</t>
  </si>
  <si>
    <t>A3) Minimum State Allocation</t>
  </si>
  <si>
    <t>MINIMUM STATE ALLOCATION ADJUSTMENT PER 20-A MRSA SECTION 15689 SUB-SECTION 1</t>
  </si>
  <si>
    <t>X</t>
  </si>
  <si>
    <t>Rates from page 1</t>
  </si>
  <si>
    <t>Minimum State Allocation Adjustment at</t>
  </si>
  <si>
    <t>ED 279 Page 2  B 1 &amp; 2</t>
  </si>
  <si>
    <t>% from parameters</t>
  </si>
  <si>
    <t>Minimum Economically Disadvantaged Student Adjustment at</t>
  </si>
  <si>
    <t>State Average Economically Discadvantage %</t>
  </si>
  <si>
    <t>SAU's Economically Discadvantage %</t>
  </si>
  <si>
    <t>Is the SAU % greater than State %?</t>
  </si>
  <si>
    <t>SAU's Economically Discadvantage Allocation</t>
  </si>
  <si>
    <t>1= yes</t>
  </si>
  <si>
    <t>Does the SAU operate a school?</t>
  </si>
  <si>
    <t>is the SAU a Minimum Spec Ed or Min Subsidy Receiver?</t>
  </si>
  <si>
    <t>Must equal 3 to be eligible</t>
  </si>
  <si>
    <t>at</t>
  </si>
  <si>
    <t>Teacher Retirement Amount (Normalized Cost)</t>
  </si>
  <si>
    <t>Total Adjusted Operating Allocation (Page 2) plus Total Other Subsidizable Costs plus Teacher Retirement</t>
  </si>
  <si>
    <t>Minimum Special Education Adj. for Towns in a RSU</t>
  </si>
  <si>
    <t>9-12 Isolated Small School Adjustment</t>
  </si>
  <si>
    <r>
      <t xml:space="preserve">Total Combined Allocations (Page 2 Adjusted Total </t>
    </r>
    <r>
      <rPr>
        <b/>
        <i/>
        <sz val="11"/>
        <color indexed="8"/>
        <rFont val="Calibri"/>
        <family val="2"/>
      </rPr>
      <t>plus</t>
    </r>
    <r>
      <rPr>
        <b/>
        <sz val="11"/>
        <color indexed="8"/>
        <rFont val="Calibri"/>
        <family val="2"/>
      </rPr>
      <t xml:space="preserve"> Other Subsidizable </t>
    </r>
    <r>
      <rPr>
        <b/>
        <i/>
        <sz val="11"/>
        <color indexed="8"/>
        <rFont val="Calibri"/>
        <family val="2"/>
      </rPr>
      <t>plus</t>
    </r>
    <r>
      <rPr>
        <b/>
        <sz val="11"/>
        <color indexed="8"/>
        <rFont val="Calibri"/>
        <family val="2"/>
      </rPr>
      <t xml:space="preserve"> Debt Service)</t>
    </r>
  </si>
  <si>
    <t>Oper., Othr Sub, &amp;  Tchr. Ret. Allocation Distribution</t>
  </si>
  <si>
    <t>For Section F Local Share %</t>
  </si>
  <si>
    <t>4YO/PreK</t>
  </si>
  <si>
    <t>K-8</t>
  </si>
  <si>
    <t>4YO/PreK Pupils</t>
  </si>
  <si>
    <t>4YO/PreK Equiv. Instruction Pupils</t>
  </si>
  <si>
    <t>4YO/PreK Disadvantaged @</t>
  </si>
  <si>
    <t>4YO/PreK Limited English Prof.</t>
  </si>
  <si>
    <t>K-8 Disadvantaged @</t>
  </si>
  <si>
    <t>K-8 Limited English Prof.</t>
  </si>
  <si>
    <t>4YO/PreK Student Assessment</t>
  </si>
  <si>
    <t>K-8 Student Assessment</t>
  </si>
  <si>
    <t>4YO/PreK Technology Resources</t>
  </si>
  <si>
    <t>K-8 Technology Resources</t>
  </si>
  <si>
    <t>K-2 Pupils</t>
  </si>
  <si>
    <t>Debt Service Adj.  Sec. 5 Line A1</t>
  </si>
  <si>
    <t>Min. State Allocation Adj.  Sec. 5 Line A3</t>
  </si>
  <si>
    <t>Min. Special Ed Adj.  Sec. 5 Line A2</t>
  </si>
  <si>
    <t>Min. Econ. Disadv. Student Adj.  Sec. 5 Line A5</t>
  </si>
  <si>
    <t>A5) Minimum Economically Disadvantaged Student Adjustment</t>
  </si>
  <si>
    <t>Min. Spec. Educ. RSU Towns Adj.  Sec. 5 Line A4</t>
  </si>
  <si>
    <t>Town Has</t>
  </si>
  <si>
    <t>Prin &amp; Int?</t>
  </si>
  <si>
    <t>Calculated</t>
  </si>
  <si>
    <t>Mill Rate</t>
  </si>
  <si>
    <t>EPS Total 97%</t>
  </si>
  <si>
    <t>Allocation</t>
  </si>
  <si>
    <t>Total Debt Serv</t>
  </si>
  <si>
    <t>By Town</t>
  </si>
  <si>
    <t>Current</t>
  </si>
  <si>
    <t>State Share</t>
  </si>
  <si>
    <t>Valuation</t>
  </si>
  <si>
    <t>Valuation times</t>
  </si>
  <si>
    <t>Debt Mill Rate</t>
  </si>
  <si>
    <t>3 Yr Ave State</t>
  </si>
  <si>
    <t>New Debt</t>
  </si>
  <si>
    <t>Serv Local</t>
  </si>
  <si>
    <t>Share</t>
  </si>
  <si>
    <t>Total Debt</t>
  </si>
  <si>
    <t>Less New</t>
  </si>
  <si>
    <t>Debt Local Share</t>
  </si>
  <si>
    <t>Is &lt;-----</t>
  </si>
  <si>
    <t>&lt; Current</t>
  </si>
  <si>
    <t>without</t>
  </si>
  <si>
    <t>Debt</t>
  </si>
  <si>
    <t xml:space="preserve">Valuation </t>
  </si>
  <si>
    <t>x Mills</t>
  </si>
  <si>
    <t>Local Alloc.</t>
  </si>
  <si>
    <t>Without Debt</t>
  </si>
  <si>
    <t>New Foundation</t>
  </si>
  <si>
    <t>&amp; Local Share</t>
  </si>
  <si>
    <t>Combined</t>
  </si>
  <si>
    <t>New State</t>
  </si>
  <si>
    <t>If Higher</t>
  </si>
  <si>
    <t>Adjustment</t>
  </si>
  <si>
    <t>by Town</t>
  </si>
  <si>
    <t>Section F:</t>
  </si>
  <si>
    <t>PreK-K</t>
  </si>
  <si>
    <t>1-5</t>
  </si>
  <si>
    <t>PreK-K                    EPS FTE</t>
  </si>
  <si>
    <t>1-5                    EPS FTE</t>
  </si>
  <si>
    <t>System Administration/Support</t>
  </si>
  <si>
    <t>10)</t>
  </si>
  <si>
    <t>11)</t>
  </si>
  <si>
    <t>Special Education - High-Cost Out-of-District Allocation</t>
  </si>
  <si>
    <t>Approved Bus Allocation</t>
  </si>
  <si>
    <t>Average Subsidizable Pupils</t>
  </si>
  <si>
    <t>Average Pupils</t>
  </si>
  <si>
    <t xml:space="preserve">Attending Pupils Average </t>
  </si>
  <si>
    <t>Special Education Budgetary Hardship Adjustment</t>
  </si>
  <si>
    <t>PreK-8 Isolated Small School Adjustment</t>
  </si>
  <si>
    <t>Career &amp; Technical Education Center Allocation</t>
  </si>
  <si>
    <t>Adverse Impact adjustment   Sec. 5 Line A6</t>
  </si>
  <si>
    <t>(Most Recent Oct Only)</t>
  </si>
  <si>
    <t>Original Calculation prior to Corrections</t>
  </si>
  <si>
    <t>Difference</t>
  </si>
  <si>
    <t>(October 2018)</t>
  </si>
  <si>
    <t>Subsidizable Pupils Average</t>
  </si>
  <si>
    <t>October 2018</t>
  </si>
  <si>
    <t>Lessor of 3-Yr Average or Prior Yr Valuation</t>
  </si>
  <si>
    <t>Gifted &amp; Talented Expenditures from 2017-18</t>
  </si>
  <si>
    <t>RSU 01</t>
  </si>
  <si>
    <t>Woolwich</t>
  </si>
  <si>
    <t>Addn/Renv Woolwich Central Sch</t>
  </si>
  <si>
    <t>Arrowsic</t>
  </si>
  <si>
    <t>Bath</t>
  </si>
  <si>
    <t>Phippsburg</t>
  </si>
  <si>
    <t>New Bath Morse High School</t>
  </si>
  <si>
    <t>2020-21</t>
  </si>
  <si>
    <t>(October 2019)</t>
  </si>
  <si>
    <t>October 2019</t>
  </si>
  <si>
    <t>(may include estimates)</t>
  </si>
  <si>
    <t>Approved Leases for 2019-20 for</t>
  </si>
  <si>
    <t>Approved Lease Purchases for 2019-20 for</t>
  </si>
  <si>
    <t>Insured Value Factor for 2018-19 for</t>
  </si>
  <si>
    <t>K-8 Pupils</t>
  </si>
  <si>
    <t>PK - K</t>
  </si>
  <si>
    <t>Org ID:</t>
  </si>
  <si>
    <t>Sample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</si>
</sst>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$&quot;#,##0.00_);\(&quot;$&quot;#,##0.00\)"/>
    <numFmt numFmtId="43" formatCode="_(* #,##0.00_);_(* \(#,##0.00\);_(* &quot;-&quot;??_);_(@_)"/>
    <numFmt numFmtId="164" formatCode="0.0"/>
    <numFmt numFmtId="165" formatCode="#,##0.0"/>
    <numFmt numFmtId="167" formatCode="0.0000"/>
    <numFmt numFmtId="168" formatCode=".0000"/>
    <numFmt numFmtId="169" formatCode="0.000"/>
    <numFmt numFmtId="171" formatCode="_(* #,##0.000_);_(* \(#,##0.000\);_(* &quot;-&quot;??_);_(@_)"/>
    <numFmt numFmtId="172" formatCode="_(* #,##0.0_);_(* \(#,##0.0\);_(* &quot;-&quot;??_);_(@_)"/>
    <numFmt numFmtId="176" formatCode="_(* #,##0_);_(* \(#,##0\);_(* &quot;-&quot;??_);_(@_)"/>
    <numFmt numFmtId="177" formatCode="_(* #,##0.0_);_(* \(#,##0.0\);_(* &quot;-&quot;?_);_(@_)"/>
    <numFmt numFmtId="180" formatCode="#,##0.0_);[Red]\(#,##0.0\)"/>
    <numFmt numFmtId="186" formatCode="0.00000%"/>
    <numFmt numFmtId="198" formatCode="0.000000"/>
  </numFmts>
  <fonts count="3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3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/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</borders>
  <cellStyleXfs count="8">
    <xf numFmtId="0" fontId="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2" fillId="0" borderId="0"/>
    <xf numFmtId="0" fontId="6" fillId="0" borderId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9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0" xfId="0" applyFont="1" applyFill="1"/>
    <xf numFmtId="0" fontId="0" fillId="0" borderId="0" xfId="0" quotePrefix="1" applyAlignment="1">
      <alignment horizontal="center"/>
    </xf>
    <xf numFmtId="0" fontId="0" fillId="0" borderId="0" xfId="0" quotePrefix="1" applyFont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0" xfId="0" applyFont="1" applyAlignment="1">
      <alignment horizontal="center" wrapText="1"/>
    </xf>
    <xf numFmtId="0" fontId="0" fillId="4" borderId="0" xfId="0" applyFill="1"/>
    <xf numFmtId="0" fontId="0" fillId="4" borderId="0" xfId="0" quotePrefix="1" applyFill="1" applyAlignment="1">
      <alignment horizontal="center"/>
    </xf>
    <xf numFmtId="0" fontId="1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center"/>
    </xf>
    <xf numFmtId="0" fontId="0" fillId="5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quotePrefix="1" applyFill="1" applyAlignment="1">
      <alignment horizontal="center"/>
    </xf>
    <xf numFmtId="0" fontId="0" fillId="5" borderId="0" xfId="0" quotePrefix="1" applyFill="1" applyAlignment="1">
      <alignment horizontal="center"/>
    </xf>
    <xf numFmtId="49" fontId="0" fillId="5" borderId="0" xfId="0" applyNumberFormat="1" applyFill="1" applyAlignment="1">
      <alignment horizontal="left"/>
    </xf>
    <xf numFmtId="164" fontId="0" fillId="5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13" fillId="5" borderId="0" xfId="0" applyFont="1" applyFill="1" applyAlignment="1">
      <alignment horizontal="center"/>
    </xf>
    <xf numFmtId="3" fontId="0" fillId="5" borderId="0" xfId="0" applyNumberFormat="1" applyFill="1" applyAlignment="1">
      <alignment horizontal="center"/>
    </xf>
    <xf numFmtId="10" fontId="0" fillId="5" borderId="0" xfId="0" applyNumberForma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/>
    <xf numFmtId="0" fontId="0" fillId="5" borderId="0" xfId="0" applyFont="1" applyFill="1" applyAlignment="1">
      <alignment horizontal="right"/>
    </xf>
    <xf numFmtId="0" fontId="0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5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5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5" borderId="0" xfId="0" quotePrefix="1" applyFill="1" applyAlignment="1">
      <alignment horizontal="center"/>
    </xf>
    <xf numFmtId="0" fontId="0" fillId="0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wrapText="1"/>
    </xf>
    <xf numFmtId="164" fontId="0" fillId="5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right"/>
    </xf>
    <xf numFmtId="0" fontId="0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" fontId="0" fillId="5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0" fontId="0" fillId="5" borderId="0" xfId="0" applyFill="1" applyAlignment="1">
      <alignment horizontal="center"/>
    </xf>
    <xf numFmtId="169" fontId="0" fillId="0" borderId="0" xfId="0" applyNumberFormat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2" fontId="0" fillId="5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4" fontId="0" fillId="5" borderId="0" xfId="0" applyNumberFormat="1" applyFont="1" applyFill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4" fontId="0" fillId="5" borderId="0" xfId="0" applyNumberFormat="1" applyFill="1" applyAlignment="1">
      <alignment horizontal="right"/>
    </xf>
    <xf numFmtId="165" fontId="0" fillId="5" borderId="0" xfId="0" applyNumberFormat="1" applyFill="1" applyAlignment="1">
      <alignment horizontal="right"/>
    </xf>
    <xf numFmtId="165" fontId="0" fillId="0" borderId="0" xfId="0" applyNumberFormat="1" applyAlignment="1">
      <alignment horizontal="right"/>
    </xf>
    <xf numFmtId="169" fontId="0" fillId="5" borderId="0" xfId="0" applyNumberFormat="1" applyFill="1" applyAlignment="1">
      <alignment horizontal="right"/>
    </xf>
    <xf numFmtId="0" fontId="15" fillId="0" borderId="0" xfId="0" applyFont="1" applyFill="1"/>
    <xf numFmtId="0" fontId="11" fillId="5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1" fillId="4" borderId="0" xfId="0" applyFont="1" applyFill="1" applyAlignment="1">
      <alignment horizontal="right"/>
    </xf>
    <xf numFmtId="10" fontId="0" fillId="0" borderId="0" xfId="0" applyNumberFormat="1" applyFill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 wrapText="1"/>
    </xf>
    <xf numFmtId="10" fontId="0" fillId="5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11" fillId="0" borderId="0" xfId="0" applyFont="1" applyFill="1" applyAlignment="1">
      <alignment horizontal="right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Alignment="1">
      <alignment horizontal="right"/>
    </xf>
    <xf numFmtId="0" fontId="0" fillId="5" borderId="0" xfId="0" applyFill="1" applyAlignment="1">
      <alignment horizontal="left"/>
    </xf>
    <xf numFmtId="169" fontId="11" fillId="5" borderId="0" xfId="0" applyNumberFormat="1" applyFont="1" applyFill="1" applyAlignment="1">
      <alignment horizontal="center"/>
    </xf>
    <xf numFmtId="164" fontId="11" fillId="5" borderId="0" xfId="0" applyNumberFormat="1" applyFont="1" applyFill="1" applyAlignment="1">
      <alignment horizontal="center"/>
    </xf>
    <xf numFmtId="4" fontId="11" fillId="5" borderId="0" xfId="0" applyNumberFormat="1" applyFont="1" applyFill="1" applyAlignment="1">
      <alignment horizontal="center"/>
    </xf>
    <xf numFmtId="0" fontId="11" fillId="5" borderId="0" xfId="0" quotePrefix="1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72" fontId="10" fillId="5" borderId="0" xfId="1" applyNumberFormat="1" applyFont="1" applyFill="1" applyAlignment="1">
      <alignment horizontal="right"/>
    </xf>
    <xf numFmtId="172" fontId="10" fillId="0" borderId="0" xfId="1" applyNumberFormat="1" applyFont="1" applyAlignment="1">
      <alignment horizontal="right"/>
    </xf>
    <xf numFmtId="172" fontId="10" fillId="0" borderId="0" xfId="1" applyNumberFormat="1" applyFont="1" applyFill="1" applyAlignment="1">
      <alignment horizontal="right"/>
    </xf>
    <xf numFmtId="39" fontId="10" fillId="5" borderId="0" xfId="1" applyNumberFormat="1" applyFont="1" applyFill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14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65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2" fontId="0" fillId="0" borderId="0" xfId="0" applyNumberFormat="1" applyFill="1" applyAlignment="1">
      <alignment horizontal="right"/>
    </xf>
    <xf numFmtId="4" fontId="11" fillId="5" borderId="0" xfId="0" applyNumberFormat="1" applyFont="1" applyFill="1" applyAlignment="1">
      <alignment horizontal="right"/>
    </xf>
    <xf numFmtId="39" fontId="10" fillId="0" borderId="0" xfId="1" applyNumberFormat="1" applyFont="1" applyFill="1" applyAlignment="1">
      <alignment horizontal="right"/>
    </xf>
    <xf numFmtId="43" fontId="10" fillId="0" borderId="0" xfId="1" applyFont="1" applyAlignment="1">
      <alignment horizontal="right"/>
    </xf>
    <xf numFmtId="43" fontId="11" fillId="0" borderId="0" xfId="1" applyFont="1" applyFill="1" applyAlignment="1">
      <alignment horizontal="center"/>
    </xf>
    <xf numFmtId="43" fontId="11" fillId="0" borderId="0" xfId="0" applyNumberFormat="1" applyFont="1"/>
    <xf numFmtId="43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/>
    <xf numFmtId="0" fontId="0" fillId="5" borderId="0" xfId="0" quotePrefix="1" applyFill="1" applyAlignment="1">
      <alignment horizontal="center"/>
    </xf>
    <xf numFmtId="0" fontId="0" fillId="5" borderId="0" xfId="0" applyFill="1" applyAlignment="1">
      <alignment horizontal="right"/>
    </xf>
    <xf numFmtId="0" fontId="11" fillId="0" borderId="0" xfId="0" applyFont="1"/>
    <xf numFmtId="0" fontId="0" fillId="0" borderId="0" xfId="0" applyAlignment="1">
      <alignment horizontal="right"/>
    </xf>
    <xf numFmtId="164" fontId="0" fillId="5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right"/>
    </xf>
    <xf numFmtId="49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43" fontId="11" fillId="0" borderId="0" xfId="0" applyNumberFormat="1" applyFont="1" applyAlignment="1">
      <alignment horizontal="center" wrapText="1"/>
    </xf>
    <xf numFmtId="43" fontId="11" fillId="4" borderId="0" xfId="0" applyNumberFormat="1" applyFont="1" applyFill="1"/>
    <xf numFmtId="10" fontId="0" fillId="0" borderId="0" xfId="0" applyNumberFormat="1" applyFont="1"/>
    <xf numFmtId="4" fontId="11" fillId="0" borderId="0" xfId="0" applyNumberFormat="1" applyFont="1"/>
    <xf numFmtId="10" fontId="0" fillId="0" borderId="0" xfId="0" applyNumberFormat="1" applyFont="1" applyAlignment="1">
      <alignment horizontal="left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/>
    <xf numFmtId="0" fontId="11" fillId="0" borderId="0" xfId="0" applyFont="1"/>
    <xf numFmtId="164" fontId="0" fillId="0" borderId="0" xfId="0" applyNumberFormat="1" applyAlignment="1">
      <alignment horizontal="center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49" fontId="12" fillId="0" borderId="0" xfId="0" applyNumberFormat="1" applyFont="1" applyAlignment="1">
      <alignment horizontal="center" wrapText="1"/>
    </xf>
    <xf numFmtId="0" fontId="0" fillId="5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12" fillId="0" borderId="0" xfId="0" applyFont="1" applyAlignment="1">
      <alignment horizontal="center" wrapText="1"/>
    </xf>
    <xf numFmtId="7" fontId="0" fillId="5" borderId="0" xfId="0" applyNumberFormat="1" applyFill="1" applyAlignment="1">
      <alignment horizontal="right"/>
    </xf>
    <xf numFmtId="7" fontId="0" fillId="0" borderId="0" xfId="0" applyNumberFormat="1" applyFill="1" applyAlignment="1">
      <alignment horizontal="right"/>
    </xf>
    <xf numFmtId="7" fontId="0" fillId="0" borderId="0" xfId="0" quotePrefix="1" applyNumberFormat="1" applyFill="1" applyAlignment="1">
      <alignment horizontal="right"/>
    </xf>
    <xf numFmtId="7" fontId="0" fillId="0" borderId="0" xfId="0" applyNumberFormat="1" applyAlignment="1">
      <alignment horizontal="right"/>
    </xf>
    <xf numFmtId="7" fontId="0" fillId="5" borderId="0" xfId="0" quotePrefix="1" applyNumberFormat="1" applyFill="1" applyAlignment="1">
      <alignment horizontal="right"/>
    </xf>
    <xf numFmtId="0" fontId="11" fillId="5" borderId="0" xfId="0" applyFont="1" applyFill="1" applyAlignment="1">
      <alignment horizontal="left"/>
    </xf>
    <xf numFmtId="7" fontId="11" fillId="5" borderId="0" xfId="0" applyNumberFormat="1" applyFont="1" applyFill="1" applyAlignment="1">
      <alignment horizontal="right"/>
    </xf>
    <xf numFmtId="7" fontId="11" fillId="5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9" fontId="12" fillId="0" borderId="0" xfId="0" applyNumberFormat="1" applyFont="1" applyAlignment="1">
      <alignment horizontal="center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3" fontId="0" fillId="5" borderId="0" xfId="0" applyNumberFormat="1" applyFill="1" applyAlignment="1">
      <alignment horizontal="left"/>
    </xf>
    <xf numFmtId="164" fontId="16" fillId="5" borderId="0" xfId="0" applyNumberFormat="1" applyFont="1" applyFill="1" applyAlignment="1">
      <alignment horizontal="center"/>
    </xf>
    <xf numFmtId="164" fontId="17" fillId="0" borderId="0" xfId="0" applyNumberFormat="1" applyFont="1" applyAlignment="1">
      <alignment horizontal="center"/>
    </xf>
    <xf numFmtId="164" fontId="0" fillId="0" borderId="0" xfId="0" applyNumberFormat="1" applyFill="1" applyAlignment="1">
      <alignment horizontal="right"/>
    </xf>
    <xf numFmtId="3" fontId="18" fillId="5" borderId="0" xfId="0" applyNumberFormat="1" applyFont="1" applyFill="1" applyAlignment="1">
      <alignment horizontal="right"/>
    </xf>
    <xf numFmtId="3" fontId="1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 wrapText="1"/>
    </xf>
    <xf numFmtId="0" fontId="0" fillId="0" borderId="0" xfId="0" quotePrefix="1" applyFont="1" applyAlignment="1">
      <alignment horizontal="center"/>
    </xf>
    <xf numFmtId="0" fontId="0" fillId="5" borderId="0" xfId="0" quotePrefix="1" applyFill="1" applyAlignment="1">
      <alignment horizontal="center"/>
    </xf>
    <xf numFmtId="0" fontId="11" fillId="0" borderId="0" xfId="0" applyFont="1"/>
    <xf numFmtId="0" fontId="0" fillId="0" borderId="0" xfId="0" applyAlignment="1">
      <alignment horizontal="right"/>
    </xf>
    <xf numFmtId="0" fontId="1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3" fontId="19" fillId="4" borderId="0" xfId="0" applyNumberFormat="1" applyFont="1" applyFill="1" applyAlignment="1">
      <alignment horizontal="right"/>
    </xf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0" xfId="0" applyFont="1" applyBorder="1"/>
    <xf numFmtId="0" fontId="11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1" fillId="0" borderId="3" xfId="0" applyFont="1" applyBorder="1" applyAlignment="1">
      <alignment horizontal="center" wrapText="1"/>
    </xf>
    <xf numFmtId="176" fontId="18" fillId="0" borderId="3" xfId="1" applyNumberFormat="1" applyFont="1" applyBorder="1"/>
    <xf numFmtId="3" fontId="0" fillId="0" borderId="3" xfId="0" applyNumberFormat="1" applyFont="1" applyBorder="1"/>
    <xf numFmtId="3" fontId="0" fillId="0" borderId="0" xfId="0" applyNumberFormat="1" applyFont="1" applyBorder="1"/>
    <xf numFmtId="3" fontId="0" fillId="0" borderId="4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0" fillId="0" borderId="9" xfId="0" applyFill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Fill="1" applyBorder="1"/>
    <xf numFmtId="0" fontId="11" fillId="0" borderId="10" xfId="0" applyFont="1" applyBorder="1"/>
    <xf numFmtId="0" fontId="11" fillId="0" borderId="11" xfId="0" applyFont="1" applyBorder="1"/>
    <xf numFmtId="168" fontId="16" fillId="5" borderId="0" xfId="0" applyNumberFormat="1" applyFont="1" applyFill="1" applyAlignment="1">
      <alignment horizontal="center"/>
    </xf>
    <xf numFmtId="168" fontId="16" fillId="0" borderId="0" xfId="0" applyNumberFormat="1" applyFont="1" applyAlignment="1">
      <alignment horizontal="center"/>
    </xf>
    <xf numFmtId="172" fontId="0" fillId="0" borderId="0" xfId="0" applyNumberFormat="1"/>
    <xf numFmtId="169" fontId="0" fillId="0" borderId="0" xfId="0" applyNumberFormat="1" applyFill="1" applyAlignment="1">
      <alignment horizontal="right"/>
    </xf>
    <xf numFmtId="43" fontId="18" fillId="5" borderId="0" xfId="1" applyFont="1" applyFill="1" applyAlignment="1">
      <alignment horizontal="right"/>
    </xf>
    <xf numFmtId="43" fontId="18" fillId="0" borderId="0" xfId="1" applyFont="1" applyAlignment="1">
      <alignment horizontal="right"/>
    </xf>
    <xf numFmtId="3" fontId="0" fillId="0" borderId="0" xfId="0" applyNumberFormat="1" applyAlignment="1">
      <alignment horizontal="left"/>
    </xf>
    <xf numFmtId="0" fontId="16" fillId="5" borderId="0" xfId="0" applyFont="1" applyFill="1"/>
    <xf numFmtId="2" fontId="0" fillId="5" borderId="0" xfId="0" applyNumberFormat="1" applyFill="1" applyAlignment="1">
      <alignment horizontal="center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49" fontId="22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3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49" fontId="24" fillId="0" borderId="0" xfId="0" applyNumberFormat="1" applyFont="1" applyFill="1" applyAlignment="1">
      <alignment horizontal="right"/>
    </xf>
    <xf numFmtId="0" fontId="24" fillId="0" borderId="0" xfId="0" applyFont="1" applyFill="1"/>
    <xf numFmtId="164" fontId="24" fillId="0" borderId="0" xfId="0" applyNumberFormat="1" applyFont="1" applyFill="1" applyAlignment="1">
      <alignment horizontal="center"/>
    </xf>
    <xf numFmtId="0" fontId="24" fillId="0" borderId="0" xfId="0" quotePrefix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49" fontId="24" fillId="0" borderId="0" xfId="0" applyNumberFormat="1" applyFont="1" applyFill="1" applyAlignment="1">
      <alignment horizontal="center"/>
    </xf>
    <xf numFmtId="0" fontId="24" fillId="0" borderId="0" xfId="0" quotePrefix="1" applyFont="1" applyAlignment="1">
      <alignment horizontal="center"/>
    </xf>
    <xf numFmtId="3" fontId="24" fillId="0" borderId="0" xfId="0" applyNumberFormat="1" applyFont="1" applyAlignment="1">
      <alignment horizontal="center"/>
    </xf>
    <xf numFmtId="0" fontId="0" fillId="5" borderId="0" xfId="0" applyFill="1" applyAlignment="1"/>
    <xf numFmtId="43" fontId="10" fillId="5" borderId="0" xfId="1" applyFont="1" applyFill="1" applyAlignment="1">
      <alignment horizontal="center"/>
    </xf>
    <xf numFmtId="43" fontId="10" fillId="5" borderId="0" xfId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10" fontId="0" fillId="5" borderId="0" xfId="0" quotePrefix="1" applyNumberFormat="1" applyFill="1" applyAlignment="1">
      <alignment horizontal="center"/>
    </xf>
    <xf numFmtId="10" fontId="11" fillId="0" borderId="0" xfId="0" quotePrefix="1" applyNumberFormat="1" applyFont="1" applyAlignment="1">
      <alignment horizontal="center"/>
    </xf>
    <xf numFmtId="0" fontId="26" fillId="0" borderId="0" xfId="0" applyFont="1" applyAlignment="1">
      <alignment horizontal="center"/>
    </xf>
    <xf numFmtId="164" fontId="0" fillId="0" borderId="0" xfId="0" applyNumberFormat="1"/>
    <xf numFmtId="43" fontId="0" fillId="0" borderId="0" xfId="0" applyNumberFormat="1"/>
    <xf numFmtId="3" fontId="18" fillId="5" borderId="0" xfId="0" applyNumberFormat="1" applyFont="1" applyFill="1" applyAlignment="1"/>
    <xf numFmtId="3" fontId="18" fillId="0" borderId="0" xfId="0" applyNumberFormat="1" applyFont="1" applyAlignment="1"/>
    <xf numFmtId="4" fontId="27" fillId="0" borderId="0" xfId="0" applyNumberFormat="1" applyFont="1" applyAlignment="1">
      <alignment horizontal="right"/>
    </xf>
    <xf numFmtId="4" fontId="27" fillId="5" borderId="0" xfId="0" applyNumberFormat="1" applyFont="1" applyFill="1" applyAlignment="1">
      <alignment horizontal="right"/>
    </xf>
    <xf numFmtId="10" fontId="0" fillId="0" borderId="0" xfId="0" applyNumberFormat="1" applyAlignment="1">
      <alignment horizontal="right"/>
    </xf>
    <xf numFmtId="0" fontId="20" fillId="0" borderId="0" xfId="0" applyFont="1" applyAlignment="1">
      <alignment wrapText="1"/>
    </xf>
    <xf numFmtId="4" fontId="0" fillId="0" borderId="0" xfId="0" applyNumberFormat="1"/>
    <xf numFmtId="0" fontId="6" fillId="0" borderId="0" xfId="5" applyFont="1"/>
    <xf numFmtId="4" fontId="0" fillId="0" borderId="0" xfId="0" applyNumberFormat="1" applyFont="1"/>
    <xf numFmtId="0" fontId="0" fillId="0" borderId="0" xfId="0" applyFont="1" applyAlignment="1">
      <alignment horizontal="center"/>
    </xf>
    <xf numFmtId="9" fontId="0" fillId="0" borderId="0" xfId="0" applyNumberFormat="1" applyFont="1"/>
    <xf numFmtId="43" fontId="0" fillId="0" borderId="0" xfId="0" applyNumberFormat="1" applyFont="1"/>
    <xf numFmtId="0" fontId="28" fillId="0" borderId="0" xfId="5" applyFont="1" applyAlignment="1">
      <alignment horizontal="left"/>
    </xf>
    <xf numFmtId="0" fontId="28" fillId="0" borderId="0" xfId="5" applyFont="1"/>
    <xf numFmtId="180" fontId="28" fillId="2" borderId="0" xfId="5" applyNumberFormat="1" applyFont="1" applyFill="1"/>
    <xf numFmtId="180" fontId="28" fillId="0" borderId="0" xfId="5" applyNumberFormat="1" applyFont="1"/>
    <xf numFmtId="0" fontId="28" fillId="0" borderId="0" xfId="5" applyFont="1" applyAlignment="1">
      <alignment horizontal="center"/>
    </xf>
    <xf numFmtId="40" fontId="28" fillId="2" borderId="0" xfId="5" applyNumberFormat="1" applyFont="1" applyFill="1"/>
    <xf numFmtId="7" fontId="28" fillId="2" borderId="0" xfId="5" applyNumberFormat="1" applyFont="1" applyFill="1"/>
    <xf numFmtId="9" fontId="28" fillId="0" borderId="0" xfId="5" applyNumberFormat="1" applyFont="1"/>
    <xf numFmtId="7" fontId="28" fillId="0" borderId="0" xfId="5" applyNumberFormat="1" applyFont="1" applyFill="1" applyBorder="1"/>
    <xf numFmtId="9" fontId="28" fillId="3" borderId="0" xfId="5" applyNumberFormat="1" applyFont="1" applyFill="1" applyAlignment="1">
      <alignment horizontal="center"/>
    </xf>
    <xf numFmtId="0" fontId="10" fillId="0" borderId="0" xfId="6" applyNumberFormat="1" applyFont="1" applyAlignment="1">
      <alignment horizontal="center"/>
    </xf>
    <xf numFmtId="0" fontId="0" fillId="0" borderId="1" xfId="0" applyBorder="1" applyAlignment="1">
      <alignment horizontal="center"/>
    </xf>
    <xf numFmtId="10" fontId="29" fillId="6" borderId="0" xfId="0" applyNumberFormat="1" applyFont="1" applyFill="1" applyAlignment="1">
      <alignment horizontal="center"/>
    </xf>
    <xf numFmtId="10" fontId="10" fillId="0" borderId="0" xfId="6" applyNumberFormat="1" applyFont="1" applyAlignment="1">
      <alignment horizontal="center"/>
    </xf>
    <xf numFmtId="39" fontId="11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3" fontId="11" fillId="0" borderId="1" xfId="1" applyFont="1" applyBorder="1" applyAlignment="1">
      <alignment horizontal="right"/>
    </xf>
    <xf numFmtId="43" fontId="11" fillId="0" borderId="1" xfId="0" applyNumberFormat="1" applyFont="1" applyBorder="1" applyAlignment="1">
      <alignment horizontal="center"/>
    </xf>
    <xf numFmtId="3" fontId="0" fillId="5" borderId="0" xfId="0" applyNumberFormat="1" applyFill="1" applyAlignment="1">
      <alignment horizontal="right"/>
    </xf>
    <xf numFmtId="0" fontId="22" fillId="0" borderId="0" xfId="0" applyFont="1" applyAlignment="1">
      <alignment horizontal="center" wrapText="1"/>
    </xf>
    <xf numFmtId="165" fontId="0" fillId="0" borderId="0" xfId="0" applyNumberFormat="1" applyFont="1" applyAlignment="1">
      <alignment horizontal="center"/>
    </xf>
    <xf numFmtId="165" fontId="0" fillId="5" borderId="1" xfId="0" applyNumberFormat="1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1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0" fillId="0" borderId="0" xfId="0" applyNumberFormat="1" applyFont="1" applyAlignment="1">
      <alignment horizontal="left"/>
    </xf>
    <xf numFmtId="10" fontId="10" fillId="5" borderId="0" xfId="6" applyNumberFormat="1" applyFont="1" applyFill="1" applyAlignment="1">
      <alignment horizontal="right"/>
    </xf>
    <xf numFmtId="172" fontId="0" fillId="0" borderId="0" xfId="0" applyNumberFormat="1" applyFill="1"/>
    <xf numFmtId="10" fontId="10" fillId="0" borderId="0" xfId="6" applyNumberFormat="1" applyFont="1"/>
    <xf numFmtId="10" fontId="10" fillId="0" borderId="0" xfId="6" applyNumberFormat="1" applyFont="1" applyFill="1"/>
    <xf numFmtId="39" fontId="28" fillId="5" borderId="0" xfId="1" applyNumberFormat="1" applyFont="1" applyFill="1" applyAlignment="1">
      <alignment horizontal="center"/>
    </xf>
    <xf numFmtId="3" fontId="0" fillId="5" borderId="0" xfId="0" applyNumberFormat="1" applyFill="1" applyAlignment="1">
      <alignment horizontal="right"/>
    </xf>
    <xf numFmtId="0" fontId="0" fillId="5" borderId="0" xfId="0" quotePrefix="1" applyFill="1" applyAlignment="1">
      <alignment horizontal="center"/>
    </xf>
    <xf numFmtId="0" fontId="0" fillId="5" borderId="0" xfId="0" applyFill="1" applyAlignment="1">
      <alignment horizontal="right"/>
    </xf>
    <xf numFmtId="164" fontId="0" fillId="5" borderId="0" xfId="0" applyNumberForma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right"/>
    </xf>
    <xf numFmtId="49" fontId="11" fillId="7" borderId="0" xfId="0" applyNumberFormat="1" applyFont="1" applyFill="1" applyAlignment="1">
      <alignment horizontal="right"/>
    </xf>
    <xf numFmtId="0" fontId="11" fillId="7" borderId="0" xfId="0" quotePrefix="1" applyFont="1" applyFill="1" applyAlignment="1">
      <alignment horizontal="center"/>
    </xf>
    <xf numFmtId="10" fontId="11" fillId="7" borderId="1" xfId="1" applyNumberFormat="1" applyFont="1" applyFill="1" applyBorder="1" applyAlignment="1">
      <alignment horizontal="right"/>
    </xf>
    <xf numFmtId="43" fontId="11" fillId="7" borderId="1" xfId="1" applyFont="1" applyFill="1" applyBorder="1" applyAlignment="1">
      <alignment horizontal="center"/>
    </xf>
    <xf numFmtId="164" fontId="11" fillId="7" borderId="0" xfId="0" applyNumberFormat="1" applyFont="1" applyFill="1" applyAlignment="1">
      <alignment horizontal="center"/>
    </xf>
    <xf numFmtId="43" fontId="11" fillId="7" borderId="1" xfId="1" applyFont="1" applyFill="1" applyBorder="1" applyAlignment="1">
      <alignment horizontal="right"/>
    </xf>
    <xf numFmtId="39" fontId="11" fillId="7" borderId="1" xfId="1" applyNumberFormat="1" applyFont="1" applyFill="1" applyBorder="1" applyAlignment="1">
      <alignment horizontal="right"/>
    </xf>
    <xf numFmtId="164" fontId="0" fillId="7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5" borderId="0" xfId="0" quotePrefix="1" applyFill="1" applyAlignment="1">
      <alignment horizontal="center"/>
    </xf>
    <xf numFmtId="0" fontId="11" fillId="0" borderId="0" xfId="0" applyFont="1" applyAlignment="1">
      <alignment horizontal="center" wrapText="1"/>
    </xf>
    <xf numFmtId="165" fontId="0" fillId="0" borderId="0" xfId="0" applyNumberFormat="1" applyFill="1" applyAlignment="1">
      <alignment horizontal="center"/>
    </xf>
    <xf numFmtId="3" fontId="0" fillId="5" borderId="0" xfId="0" applyNumberFormat="1" applyFill="1" applyAlignment="1">
      <alignment horizontal="right"/>
    </xf>
    <xf numFmtId="165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164" fontId="0" fillId="5" borderId="0" xfId="0" applyNumberFormat="1" applyFill="1" applyAlignment="1">
      <alignment horizontal="center"/>
    </xf>
    <xf numFmtId="0" fontId="1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0" fillId="0" borderId="0" xfId="0" applyAlignment="1">
      <alignment horizontal="right"/>
    </xf>
    <xf numFmtId="0" fontId="0" fillId="5" borderId="0" xfId="0" applyFill="1" applyAlignment="1">
      <alignment horizontal="right"/>
    </xf>
    <xf numFmtId="4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center"/>
    </xf>
    <xf numFmtId="168" fontId="16" fillId="0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center" wrapText="1"/>
    </xf>
    <xf numFmtId="43" fontId="18" fillId="0" borderId="0" xfId="1" applyFont="1" applyFill="1" applyAlignment="1">
      <alignment horizontal="right"/>
    </xf>
    <xf numFmtId="186" fontId="10" fillId="0" borderId="0" xfId="6" applyNumberFormat="1" applyFont="1" applyAlignment="1">
      <alignment horizontal="right"/>
    </xf>
    <xf numFmtId="43" fontId="10" fillId="0" borderId="0" xfId="1" applyFont="1"/>
    <xf numFmtId="177" fontId="0" fillId="0" borderId="0" xfId="0" applyNumberFormat="1" applyFill="1"/>
    <xf numFmtId="4" fontId="16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center"/>
    </xf>
    <xf numFmtId="43" fontId="10" fillId="0" borderId="0" xfId="1" applyFont="1"/>
    <xf numFmtId="176" fontId="10" fillId="0" borderId="0" xfId="1" applyNumberFormat="1" applyFont="1"/>
    <xf numFmtId="4" fontId="11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198" fontId="11" fillId="0" borderId="0" xfId="0" applyNumberFormat="1" applyFont="1" applyAlignment="1">
      <alignment horizontal="center"/>
    </xf>
    <xf numFmtId="0" fontId="0" fillId="5" borderId="0" xfId="0" quotePrefix="1" applyFill="1" applyAlignment="1">
      <alignment horizontal="center"/>
    </xf>
    <xf numFmtId="0" fontId="0" fillId="5" borderId="0" xfId="0" applyFill="1" applyAlignment="1">
      <alignment horizontal="left"/>
    </xf>
    <xf numFmtId="9" fontId="27" fillId="5" borderId="0" xfId="0" applyNumberFormat="1" applyFont="1" applyFill="1" applyAlignment="1">
      <alignment horizontal="center"/>
    </xf>
    <xf numFmtId="3" fontId="18" fillId="0" borderId="0" xfId="0" applyNumberFormat="1" applyFont="1" applyFill="1" applyAlignment="1"/>
    <xf numFmtId="3" fontId="18" fillId="0" borderId="0" xfId="0" applyNumberFormat="1" applyFont="1" applyFill="1" applyAlignment="1">
      <alignment horizontal="right"/>
    </xf>
    <xf numFmtId="0" fontId="0" fillId="0" borderId="3" xfId="0" applyFill="1" applyBorder="1"/>
    <xf numFmtId="0" fontId="0" fillId="0" borderId="0" xfId="0" applyFill="1" applyBorder="1"/>
    <xf numFmtId="0" fontId="0" fillId="0" borderId="4" xfId="0" applyFill="1" applyBorder="1"/>
    <xf numFmtId="4" fontId="11" fillId="4" borderId="0" xfId="0" applyNumberFormat="1" applyFont="1" applyFill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0" xfId="0" quotePrefix="1" applyFill="1" applyAlignment="1">
      <alignment horizontal="center"/>
    </xf>
    <xf numFmtId="3" fontId="0" fillId="5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1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167" fontId="0" fillId="5" borderId="0" xfId="0" applyNumberFormat="1" applyFill="1" applyAlignment="1">
      <alignment horizontal="center"/>
    </xf>
    <xf numFmtId="4" fontId="2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0" fontId="0" fillId="5" borderId="0" xfId="0" quotePrefix="1" applyFill="1" applyAlignment="1">
      <alignment horizontal="center"/>
    </xf>
    <xf numFmtId="0" fontId="0" fillId="5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9" fontId="28" fillId="0" borderId="0" xfId="0" applyNumberFormat="1" applyFont="1" applyAlignment="1">
      <alignment horizontal="left"/>
    </xf>
    <xf numFmtId="0" fontId="16" fillId="0" borderId="0" xfId="0" applyFont="1"/>
    <xf numFmtId="10" fontId="10" fillId="0" borderId="0" xfId="6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center"/>
    </xf>
    <xf numFmtId="39" fontId="10" fillId="0" borderId="0" xfId="1" applyNumberFormat="1" applyFont="1" applyAlignment="1">
      <alignment horizontal="right"/>
    </xf>
    <xf numFmtId="49" fontId="0" fillId="0" borderId="0" xfId="0" applyNumberFormat="1" applyFill="1" applyAlignment="1">
      <alignment horizontal="left"/>
    </xf>
    <xf numFmtId="39" fontId="10" fillId="0" borderId="0" xfId="1" applyNumberFormat="1" applyFont="1" applyAlignment="1">
      <alignment horizontal="center"/>
    </xf>
    <xf numFmtId="43" fontId="10" fillId="0" borderId="0" xfId="1" applyFont="1" applyFill="1" applyAlignment="1">
      <alignment horizontal="center"/>
    </xf>
    <xf numFmtId="0" fontId="0" fillId="0" borderId="0" xfId="0" applyFill="1" applyAlignment="1"/>
    <xf numFmtId="10" fontId="0" fillId="0" borderId="0" xfId="0" quotePrefix="1" applyNumberFormat="1" applyFill="1" applyAlignment="1">
      <alignment horizontal="center"/>
    </xf>
    <xf numFmtId="0" fontId="21" fillId="5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5" borderId="0" xfId="0" quotePrefix="1" applyFill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applyFill="1" applyAlignment="1">
      <alignment horizontal="right"/>
    </xf>
    <xf numFmtId="0" fontId="0" fillId="5" borderId="0" xfId="0" applyFill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11" fillId="0" borderId="0" xfId="0" applyFont="1" applyFill="1" applyAlignment="1">
      <alignment horizontal="right"/>
    </xf>
    <xf numFmtId="0" fontId="0" fillId="5" borderId="0" xfId="0" applyFill="1" applyAlignment="1">
      <alignment horizontal="left"/>
    </xf>
    <xf numFmtId="164" fontId="0" fillId="5" borderId="0" xfId="0" quotePrefix="1" applyNumberFormat="1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172" fontId="10" fillId="0" borderId="0" xfId="1" applyNumberFormat="1" applyFont="1" applyFill="1" applyAlignment="1">
      <alignment horizontal="center"/>
    </xf>
    <xf numFmtId="0" fontId="22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9" fontId="27" fillId="0" borderId="0" xfId="0" applyNumberFormat="1" applyFont="1" applyFill="1" applyAlignment="1">
      <alignment horizontal="center"/>
    </xf>
    <xf numFmtId="9" fontId="27" fillId="5" borderId="0" xfId="0" quotePrefix="1" applyNumberFormat="1" applyFont="1" applyFill="1" applyAlignment="1">
      <alignment horizontal="center"/>
    </xf>
    <xf numFmtId="49" fontId="0" fillId="5" borderId="0" xfId="0" applyNumberFormat="1" applyFill="1" applyAlignment="1">
      <alignment horizontal="right"/>
    </xf>
    <xf numFmtId="172" fontId="10" fillId="5" borderId="0" xfId="1" applyNumberFormat="1" applyFont="1" applyFill="1" applyAlignment="1">
      <alignment horizontal="center"/>
    </xf>
    <xf numFmtId="10" fontId="10" fillId="0" borderId="0" xfId="6" applyNumberFormat="1" applyFont="1"/>
    <xf numFmtId="172" fontId="11" fillId="0" borderId="0" xfId="0" applyNumberFormat="1" applyFont="1" applyFill="1"/>
    <xf numFmtId="10" fontId="11" fillId="0" borderId="0" xfId="6" applyNumberFormat="1" applyFont="1" applyFill="1"/>
    <xf numFmtId="14" fontId="11" fillId="4" borderId="0" xfId="0" applyNumberFormat="1" applyFont="1" applyFill="1"/>
    <xf numFmtId="0" fontId="0" fillId="0" borderId="0" xfId="0" applyAlignment="1">
      <alignment horizontal="center"/>
    </xf>
    <xf numFmtId="0" fontId="11" fillId="0" borderId="0" xfId="0" applyFont="1"/>
    <xf numFmtId="10" fontId="10" fillId="0" borderId="0" xfId="6" applyNumberFormat="1" applyFont="1"/>
    <xf numFmtId="0" fontId="11" fillId="8" borderId="0" xfId="0" applyFont="1" applyFill="1" applyAlignment="1">
      <alignment horizontal="left"/>
    </xf>
    <xf numFmtId="0" fontId="11" fillId="8" borderId="0" xfId="0" applyFont="1" applyFill="1"/>
    <xf numFmtId="0" fontId="11" fillId="8" borderId="0" xfId="0" applyFont="1" applyFill="1" applyAlignment="1">
      <alignment horizontal="center"/>
    </xf>
    <xf numFmtId="0" fontId="11" fillId="9" borderId="0" xfId="0" applyFont="1" applyFill="1" applyAlignment="1">
      <alignment horizontal="left"/>
    </xf>
    <xf numFmtId="0" fontId="11" fillId="9" borderId="0" xfId="0" applyFont="1" applyFill="1"/>
    <xf numFmtId="0" fontId="11" fillId="9" borderId="0" xfId="0" applyFont="1" applyFill="1" applyAlignment="1"/>
    <xf numFmtId="0" fontId="0" fillId="9" borderId="0" xfId="0" applyFill="1" applyAlignment="1"/>
    <xf numFmtId="0" fontId="11" fillId="9" borderId="0" xfId="0" applyFont="1" applyFill="1" applyAlignment="1">
      <alignment horizontal="center"/>
    </xf>
    <xf numFmtId="0" fontId="11" fillId="9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5" borderId="0" xfId="0" applyNumberFormat="1" applyFill="1" applyAlignment="1">
      <alignment horizontal="right"/>
    </xf>
    <xf numFmtId="172" fontId="10" fillId="5" borderId="0" xfId="1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5" borderId="0" xfId="0" applyFill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0" fillId="5" borderId="0" xfId="0" quotePrefix="1" applyFont="1" applyFill="1" applyAlignment="1">
      <alignment horizontal="center"/>
    </xf>
    <xf numFmtId="49" fontId="0" fillId="5" borderId="0" xfId="0" applyNumberFormat="1" applyFon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0" fontId="16" fillId="0" borderId="0" xfId="0" applyFont="1" applyFill="1"/>
    <xf numFmtId="39" fontId="28" fillId="0" borderId="0" xfId="1" applyNumberFormat="1" applyFont="1" applyFill="1" applyAlignment="1">
      <alignment horizontal="center"/>
    </xf>
    <xf numFmtId="186" fontId="10" fillId="0" borderId="0" xfId="6" applyNumberFormat="1" applyFont="1" applyFill="1" applyAlignment="1">
      <alignment horizontal="right"/>
    </xf>
    <xf numFmtId="0" fontId="0" fillId="10" borderId="0" xfId="0" applyFill="1" applyAlignment="1">
      <alignment horizontal="right"/>
    </xf>
    <xf numFmtId="0" fontId="0" fillId="10" borderId="0" xfId="0" applyFill="1"/>
    <xf numFmtId="3" fontId="18" fillId="10" borderId="0" xfId="0" applyNumberFormat="1" applyFont="1" applyFill="1" applyAlignment="1"/>
    <xf numFmtId="3" fontId="0" fillId="10" borderId="0" xfId="0" applyNumberFormat="1" applyFill="1" applyAlignment="1">
      <alignment horizontal="center"/>
    </xf>
    <xf numFmtId="3" fontId="18" fillId="10" borderId="0" xfId="0" applyNumberFormat="1" applyFont="1" applyFill="1" applyAlignment="1">
      <alignment horizontal="right"/>
    </xf>
    <xf numFmtId="0" fontId="0" fillId="10" borderId="0" xfId="0" applyFill="1" applyAlignment="1">
      <alignment horizontal="center"/>
    </xf>
    <xf numFmtId="0" fontId="0" fillId="10" borderId="0" xfId="0" quotePrefix="1" applyFill="1" applyAlignment="1">
      <alignment horizontal="center"/>
    </xf>
    <xf numFmtId="165" fontId="0" fillId="10" borderId="0" xfId="0" applyNumberFormat="1" applyFill="1" applyAlignment="1">
      <alignment horizontal="center"/>
    </xf>
    <xf numFmtId="3" fontId="0" fillId="10" borderId="0" xfId="0" applyNumberFormat="1" applyFill="1" applyAlignment="1">
      <alignment horizontal="right"/>
    </xf>
    <xf numFmtId="3" fontId="0" fillId="5" borderId="0" xfId="0" applyNumberFormat="1" applyFill="1" applyAlignment="1">
      <alignment horizontal="right"/>
    </xf>
    <xf numFmtId="0" fontId="11" fillId="0" borderId="0" xfId="0" applyFont="1"/>
    <xf numFmtId="0" fontId="11" fillId="0" borderId="0" xfId="0" applyFont="1" applyFill="1" applyBorder="1" applyAlignment="1">
      <alignment horizontal="center" wrapText="1"/>
    </xf>
    <xf numFmtId="0" fontId="11" fillId="0" borderId="0" xfId="0" quotePrefix="1" applyFont="1" applyFill="1" applyBorder="1" applyAlignment="1">
      <alignment horizontal="center" wrapText="1"/>
    </xf>
    <xf numFmtId="0" fontId="11" fillId="0" borderId="4" xfId="0" quotePrefix="1" applyFont="1" applyFill="1" applyBorder="1" applyAlignment="1">
      <alignment horizontal="center" wrapText="1"/>
    </xf>
    <xf numFmtId="37" fontId="10" fillId="5" borderId="0" xfId="1" applyNumberFormat="1" applyFont="1" applyFill="1" applyAlignment="1">
      <alignment horizontal="right"/>
    </xf>
    <xf numFmtId="37" fontId="10" fillId="0" borderId="0" xfId="1" applyNumberFormat="1" applyFont="1" applyFill="1" applyAlignment="1">
      <alignment horizontal="right"/>
    </xf>
    <xf numFmtId="176" fontId="10" fillId="5" borderId="0" xfId="1" applyNumberFormat="1" applyFont="1" applyFill="1" applyAlignment="1">
      <alignment horizontal="right"/>
    </xf>
    <xf numFmtId="176" fontId="10" fillId="0" borderId="0" xfId="1" applyNumberFormat="1" applyFont="1" applyFill="1" applyAlignment="1">
      <alignment horizontal="right"/>
    </xf>
    <xf numFmtId="176" fontId="10" fillId="0" borderId="0" xfId="1" applyNumberFormat="1" applyFont="1" applyAlignment="1">
      <alignment horizontal="right"/>
    </xf>
    <xf numFmtId="172" fontId="10" fillId="5" borderId="0" xfId="1" applyNumberFormat="1" applyFont="1" applyFill="1" applyBorder="1" applyAlignment="1">
      <alignment horizontal="center"/>
    </xf>
    <xf numFmtId="172" fontId="16" fillId="5" borderId="13" xfId="1" applyNumberFormat="1" applyFont="1" applyFill="1" applyBorder="1" applyAlignment="1">
      <alignment horizontal="center"/>
    </xf>
    <xf numFmtId="172" fontId="16" fillId="0" borderId="13" xfId="1" applyNumberFormat="1" applyFont="1" applyBorder="1" applyAlignment="1">
      <alignment horizontal="center"/>
    </xf>
    <xf numFmtId="164" fontId="16" fillId="5" borderId="13" xfId="0" applyNumberFormat="1" applyFont="1" applyFill="1" applyBorder="1" applyAlignment="1">
      <alignment horizontal="right"/>
    </xf>
    <xf numFmtId="164" fontId="16" fillId="0" borderId="13" xfId="0" applyNumberFormat="1" applyFont="1" applyBorder="1" applyAlignment="1">
      <alignment horizontal="right"/>
    </xf>
    <xf numFmtId="3" fontId="16" fillId="5" borderId="13" xfId="0" applyNumberFormat="1" applyFont="1" applyFill="1" applyBorder="1" applyAlignment="1">
      <alignment horizontal="right"/>
    </xf>
    <xf numFmtId="3" fontId="16" fillId="0" borderId="13" xfId="0" applyNumberFormat="1" applyFont="1" applyBorder="1" applyAlignment="1">
      <alignment horizontal="right"/>
    </xf>
    <xf numFmtId="172" fontId="16" fillId="0" borderId="13" xfId="1" applyNumberFormat="1" applyFont="1" applyFill="1" applyBorder="1" applyAlignment="1">
      <alignment horizontal="center"/>
    </xf>
    <xf numFmtId="172" fontId="16" fillId="5" borderId="13" xfId="1" applyNumberFormat="1" applyFont="1" applyFill="1" applyBorder="1" applyAlignment="1">
      <alignment horizontal="right"/>
    </xf>
    <xf numFmtId="172" fontId="16" fillId="0" borderId="13" xfId="1" applyNumberFormat="1" applyFont="1" applyFill="1" applyBorder="1" applyAlignment="1">
      <alignment horizontal="right"/>
    </xf>
    <xf numFmtId="172" fontId="28" fillId="5" borderId="14" xfId="1" applyNumberFormat="1" applyFont="1" applyFill="1" applyBorder="1" applyAlignment="1">
      <alignment horizontal="center"/>
    </xf>
    <xf numFmtId="172" fontId="28" fillId="5" borderId="14" xfId="1" applyNumberFormat="1" applyFont="1" applyFill="1" applyBorder="1" applyAlignment="1">
      <alignment horizontal="right"/>
    </xf>
    <xf numFmtId="171" fontId="16" fillId="0" borderId="13" xfId="1" applyNumberFormat="1" applyFont="1" applyFill="1" applyBorder="1" applyAlignment="1">
      <alignment horizontal="right"/>
    </xf>
    <xf numFmtId="171" fontId="16" fillId="5" borderId="13" xfId="1" applyNumberFormat="1" applyFont="1" applyFill="1" applyBorder="1" applyAlignment="1">
      <alignment horizontal="right"/>
    </xf>
    <xf numFmtId="168" fontId="16" fillId="5" borderId="13" xfId="0" applyNumberFormat="1" applyFont="1" applyFill="1" applyBorder="1" applyAlignment="1">
      <alignment horizontal="center"/>
    </xf>
    <xf numFmtId="4" fontId="0" fillId="5" borderId="13" xfId="0" applyNumberFormat="1" applyFont="1" applyFill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16" fillId="5" borderId="13" xfId="0" applyNumberFormat="1" applyFont="1" applyFill="1" applyBorder="1" applyAlignment="1">
      <alignment horizontal="right"/>
    </xf>
    <xf numFmtId="4" fontId="16" fillId="0" borderId="13" xfId="0" applyNumberFormat="1" applyFont="1" applyFill="1" applyBorder="1" applyAlignment="1">
      <alignment horizontal="right"/>
    </xf>
    <xf numFmtId="4" fontId="27" fillId="0" borderId="13" xfId="0" applyNumberFormat="1" applyFont="1" applyBorder="1" applyAlignment="1">
      <alignment horizontal="right"/>
    </xf>
    <xf numFmtId="0" fontId="0" fillId="0" borderId="13" xfId="0" applyBorder="1"/>
    <xf numFmtId="14" fontId="0" fillId="0" borderId="13" xfId="0" applyNumberFormat="1" applyBorder="1" applyAlignment="1">
      <alignment horizontal="center"/>
    </xf>
    <xf numFmtId="0" fontId="0" fillId="5" borderId="13" xfId="0" applyFill="1" applyBorder="1" applyAlignment="1">
      <alignment horizontal="left"/>
    </xf>
    <xf numFmtId="14" fontId="0" fillId="5" borderId="13" xfId="0" applyNumberFormat="1" applyFill="1" applyBorder="1" applyAlignment="1">
      <alignment horizontal="center"/>
    </xf>
    <xf numFmtId="0" fontId="0" fillId="5" borderId="13" xfId="0" applyFill="1" applyBorder="1"/>
    <xf numFmtId="4" fontId="0" fillId="5" borderId="13" xfId="0" applyNumberFormat="1" applyFill="1" applyBorder="1" applyAlignment="1">
      <alignment horizontal="right"/>
    </xf>
    <xf numFmtId="172" fontId="11" fillId="7" borderId="0" xfId="1" applyNumberFormat="1" applyFont="1" applyFill="1" applyBorder="1" applyAlignment="1">
      <alignment horizontal="center"/>
    </xf>
    <xf numFmtId="172" fontId="16" fillId="5" borderId="12" xfId="1" applyNumberFormat="1" applyFont="1" applyFill="1" applyBorder="1" applyAlignment="1">
      <alignment horizontal="center"/>
    </xf>
    <xf numFmtId="172" fontId="16" fillId="0" borderId="12" xfId="1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3" fontId="16" fillId="0" borderId="13" xfId="0" applyNumberFormat="1" applyFont="1" applyFill="1" applyBorder="1" applyAlignment="1">
      <alignment horizontal="right"/>
    </xf>
    <xf numFmtId="4" fontId="27" fillId="5" borderId="13" xfId="0" applyNumberFormat="1" applyFont="1" applyFill="1" applyBorder="1" applyAlignment="1">
      <alignment horizontal="right"/>
    </xf>
    <xf numFmtId="4" fontId="27" fillId="0" borderId="1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5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5" borderId="0" xfId="0" applyFill="1" applyAlignment="1"/>
    <xf numFmtId="164" fontId="0" fillId="0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3" fontId="0" fillId="5" borderId="0" xfId="0" applyNumberFormat="1" applyFill="1" applyAlignment="1">
      <alignment horizontal="right"/>
    </xf>
    <xf numFmtId="0" fontId="0" fillId="0" borderId="0" xfId="0" applyAlignment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5" fontId="0" fillId="5" borderId="0" xfId="0" applyNumberFormat="1" applyFill="1" applyAlignment="1">
      <alignment horizontal="center"/>
    </xf>
    <xf numFmtId="172" fontId="10" fillId="5" borderId="0" xfId="1" applyNumberFormat="1" applyFont="1" applyFill="1" applyAlignment="1">
      <alignment horizontal="center"/>
    </xf>
    <xf numFmtId="172" fontId="10" fillId="0" borderId="0" xfId="1" applyNumberFormat="1" applyFont="1" applyAlignment="1">
      <alignment horizontal="center"/>
    </xf>
    <xf numFmtId="10" fontId="10" fillId="0" borderId="0" xfId="6" applyNumberFormat="1" applyFont="1" applyAlignment="1">
      <alignment horizontal="center"/>
    </xf>
    <xf numFmtId="172" fontId="10" fillId="5" borderId="0" xfId="1" applyNumberFormat="1" applyFont="1" applyFill="1" applyBorder="1" applyAlignment="1">
      <alignment horizontal="left"/>
    </xf>
    <xf numFmtId="172" fontId="10" fillId="0" borderId="0" xfId="1" applyNumberFormat="1" applyFont="1" applyBorder="1" applyAlignment="1"/>
    <xf numFmtId="172" fontId="10" fillId="5" borderId="0" xfId="1" quotePrefix="1" applyNumberFormat="1" applyFont="1" applyFill="1" applyAlignment="1">
      <alignment horizontal="center"/>
    </xf>
    <xf numFmtId="172" fontId="10" fillId="0" borderId="6" xfId="1" quotePrefix="1" applyNumberFormat="1" applyFont="1" applyBorder="1" applyAlignment="1">
      <alignment horizontal="center"/>
    </xf>
    <xf numFmtId="172" fontId="10" fillId="0" borderId="6" xfId="1" applyNumberFormat="1" applyFont="1" applyBorder="1" applyAlignment="1">
      <alignment horizontal="center"/>
    </xf>
    <xf numFmtId="172" fontId="10" fillId="5" borderId="0" xfId="1" applyNumberFormat="1" applyFont="1" applyFill="1" applyBorder="1" applyAlignment="1">
      <alignment horizontal="center"/>
    </xf>
    <xf numFmtId="172" fontId="10" fillId="0" borderId="0" xfId="1" applyNumberFormat="1" applyFont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172" fontId="16" fillId="5" borderId="15" xfId="1" applyNumberFormat="1" applyFont="1" applyFill="1" applyBorder="1" applyAlignment="1">
      <alignment horizontal="center"/>
    </xf>
    <xf numFmtId="172" fontId="10" fillId="0" borderId="16" xfId="1" applyNumberFormat="1" applyFont="1" applyBorder="1" applyAlignment="1">
      <alignment horizontal="center"/>
    </xf>
    <xf numFmtId="172" fontId="16" fillId="0" borderId="15" xfId="1" applyNumberFormat="1" applyFont="1" applyBorder="1" applyAlignment="1">
      <alignment horizontal="center"/>
    </xf>
    <xf numFmtId="0" fontId="11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11" fillId="8" borderId="0" xfId="0" applyFont="1" applyFill="1" applyAlignment="1">
      <alignment horizontal="center"/>
    </xf>
    <xf numFmtId="172" fontId="16" fillId="0" borderId="17" xfId="1" applyNumberFormat="1" applyFont="1" applyBorder="1" applyAlignment="1">
      <alignment horizontal="center"/>
    </xf>
    <xf numFmtId="172" fontId="16" fillId="0" borderId="16" xfId="1" applyNumberFormat="1" applyFont="1" applyBorder="1" applyAlignment="1">
      <alignment horizontal="center"/>
    </xf>
    <xf numFmtId="172" fontId="16" fillId="5" borderId="17" xfId="1" applyNumberFormat="1" applyFont="1" applyFill="1" applyBorder="1" applyAlignment="1">
      <alignment horizontal="center"/>
    </xf>
    <xf numFmtId="172" fontId="16" fillId="5" borderId="16" xfId="1" applyNumberFormat="1" applyFont="1" applyFill="1" applyBorder="1" applyAlignment="1">
      <alignment horizontal="center"/>
    </xf>
    <xf numFmtId="172" fontId="10" fillId="0" borderId="17" xfId="1" applyNumberFormat="1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27" fillId="5" borderId="15" xfId="0" applyFont="1" applyFill="1" applyBorder="1" applyAlignment="1">
      <alignment horizontal="center"/>
    </xf>
    <xf numFmtId="0" fontId="27" fillId="0" borderId="16" xfId="0" applyFont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/>
    <xf numFmtId="49" fontId="11" fillId="0" borderId="0" xfId="0" applyNumberFormat="1" applyFont="1" applyAlignment="1">
      <alignment horizontal="center"/>
    </xf>
    <xf numFmtId="0" fontId="11" fillId="0" borderId="0" xfId="0" applyFont="1"/>
    <xf numFmtId="164" fontId="0" fillId="0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0" fillId="5" borderId="0" xfId="0" applyNumberFormat="1" applyFill="1" applyAlignment="1">
      <alignment horizontal="right"/>
    </xf>
    <xf numFmtId="0" fontId="0" fillId="5" borderId="0" xfId="0" applyFill="1" applyAlignment="1"/>
    <xf numFmtId="49" fontId="12" fillId="0" borderId="0" xfId="0" applyNumberFormat="1" applyFont="1" applyAlignment="1">
      <alignment horizontal="center" wrapText="1"/>
    </xf>
    <xf numFmtId="0" fontId="0" fillId="0" borderId="13" xfId="0" applyBorder="1" applyAlignment="1">
      <alignment horizontal="left"/>
    </xf>
    <xf numFmtId="168" fontId="11" fillId="5" borderId="0" xfId="0" applyNumberFormat="1" applyFont="1" applyFill="1" applyAlignment="1">
      <alignment horizontal="center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11" fillId="0" borderId="0" xfId="0" applyFont="1" applyFill="1" applyAlignment="1">
      <alignment horizontal="right"/>
    </xf>
    <xf numFmtId="0" fontId="0" fillId="5" borderId="13" xfId="0" applyFill="1" applyBorder="1" applyAlignment="1">
      <alignment horizontal="left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1" fillId="9" borderId="0" xfId="0" applyFont="1" applyFill="1" applyAlignment="1">
      <alignment horizontal="center"/>
    </xf>
    <xf numFmtId="0" fontId="23" fillId="0" borderId="0" xfId="0" applyFont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left"/>
    </xf>
    <xf numFmtId="43" fontId="11" fillId="0" borderId="0" xfId="0" applyNumberFormat="1" applyFont="1" applyAlignment="1">
      <alignment horizontal="center" wrapText="1"/>
    </xf>
    <xf numFmtId="0" fontId="0" fillId="9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NumberFormat="1" applyFill="1" applyAlignment="1">
      <alignment horizontal="left"/>
    </xf>
  </cellXfs>
  <cellStyles count="8">
    <cellStyle name="Comma" xfId="1" builtinId="3"/>
    <cellStyle name="Comma 2" xfId="2"/>
    <cellStyle name="Comma 3" xfId="3"/>
    <cellStyle name="Normal" xfId="0" builtinId="0"/>
    <cellStyle name="Normal 2" xfId="4"/>
    <cellStyle name="Normal 3" xfId="5"/>
    <cellStyle name="Percent" xfId="6" builtin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8"/>
  <sheetViews>
    <sheetView zoomScaleNormal="100" workbookViewId="0">
      <selection activeCell="B7" sqref="B7"/>
    </sheetView>
  </sheetViews>
  <sheetFormatPr defaultRowHeight="15" x14ac:dyDescent="0.25"/>
  <cols>
    <col min="1" max="1" width="9.7109375" customWidth="1"/>
    <col min="2" max="2" width="3.5703125" customWidth="1"/>
    <col min="3" max="3" width="21.140625" customWidth="1"/>
    <col min="4" max="4" width="7.42578125" customWidth="1"/>
    <col min="5" max="5" width="1.42578125" customWidth="1"/>
    <col min="6" max="6" width="4.28515625" customWidth="1"/>
    <col min="7" max="7" width="1.5703125" customWidth="1"/>
    <col min="8" max="8" width="4.42578125" customWidth="1"/>
    <col min="9" max="9" width="2" customWidth="1"/>
    <col min="10" max="10" width="3" customWidth="1"/>
    <col min="11" max="11" width="7.42578125" customWidth="1"/>
    <col min="12" max="12" width="1.42578125" customWidth="1"/>
    <col min="13" max="13" width="4.28515625" customWidth="1"/>
    <col min="14" max="14" width="1.5703125" customWidth="1"/>
    <col min="15" max="15" width="5.7109375" customWidth="1"/>
    <col min="16" max="16" width="2" customWidth="1"/>
    <col min="17" max="17" width="3" customWidth="1"/>
    <col min="18" max="18" width="7.7109375" style="1" customWidth="1"/>
    <col min="19" max="19" width="1.7109375" customWidth="1"/>
    <col min="20" max="20" width="4.140625" customWidth="1"/>
    <col min="21" max="21" width="1.85546875" customWidth="1"/>
    <col min="22" max="22" width="2.28515625" customWidth="1"/>
    <col min="23" max="23" width="2" customWidth="1"/>
    <col min="24" max="24" width="2.140625" customWidth="1"/>
    <col min="25" max="25" width="7.5703125" style="1" customWidth="1"/>
    <col min="26" max="26" width="1.85546875" style="1" customWidth="1"/>
    <col min="27" max="27" width="4.140625" style="161" customWidth="1"/>
    <col min="28" max="28" width="1.42578125" style="161" customWidth="1"/>
    <col min="29" max="30" width="1.7109375" style="161" customWidth="1"/>
    <col min="31" max="31" width="2.140625" style="1" customWidth="1"/>
    <col min="32" max="32" width="8.140625" style="1" customWidth="1"/>
    <col min="33" max="33" width="2.140625" style="1" customWidth="1"/>
    <col min="34" max="34" width="10.7109375" style="1" customWidth="1"/>
    <col min="35" max="35" width="2.140625" style="1" customWidth="1"/>
    <col min="36" max="36" width="9" style="1" customWidth="1"/>
    <col min="37" max="37" width="2.140625" style="1" customWidth="1"/>
    <col min="38" max="38" width="9.85546875" style="1" customWidth="1"/>
    <col min="39" max="39" width="2.140625" style="1" customWidth="1"/>
    <col min="40" max="40" width="10.140625" style="1" bestFit="1" customWidth="1"/>
    <col min="41" max="41" width="2.140625" style="1" customWidth="1"/>
    <col min="42" max="42" width="11" style="1" customWidth="1"/>
    <col min="43" max="43" width="10.42578125" style="1" customWidth="1"/>
    <col min="44" max="44" width="6.140625" customWidth="1"/>
    <col min="45" max="45" width="4.28515625" customWidth="1"/>
    <col min="46" max="46" width="10.140625" customWidth="1"/>
    <col min="47" max="47" width="6.140625" customWidth="1"/>
    <col min="48" max="48" width="6.7109375" customWidth="1"/>
    <col min="49" max="49" width="6.28515625" customWidth="1"/>
    <col min="50" max="50" width="7.28515625" customWidth="1"/>
  </cols>
  <sheetData>
    <row r="1" spans="1:50" s="5" customFormat="1" x14ac:dyDescent="0.25">
      <c r="A1" s="540" t="s">
        <v>0</v>
      </c>
      <c r="B1" s="540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5"/>
      <c r="AE1" s="525"/>
      <c r="AF1" s="525"/>
      <c r="AG1" s="525"/>
      <c r="AH1" s="525"/>
      <c r="AI1" s="525"/>
      <c r="AJ1" s="523"/>
      <c r="AK1" s="523"/>
      <c r="AL1" s="523"/>
      <c r="AM1" s="523"/>
      <c r="AN1" s="523"/>
      <c r="AO1" s="523"/>
      <c r="AP1" s="523"/>
      <c r="AQ1" s="10" t="s">
        <v>71</v>
      </c>
      <c r="AW1" s="471"/>
      <c r="AX1" s="471"/>
    </row>
    <row r="2" spans="1:50" s="5" customFormat="1" x14ac:dyDescent="0.25">
      <c r="A2" s="540" t="s">
        <v>1</v>
      </c>
      <c r="B2" s="540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3"/>
      <c r="AK2" s="523"/>
      <c r="AL2" s="523"/>
      <c r="AM2" s="523"/>
      <c r="AN2" s="523"/>
      <c r="AO2" s="523"/>
      <c r="AP2" s="523"/>
      <c r="AQ2" s="7" t="s">
        <v>4</v>
      </c>
      <c r="AW2" s="471"/>
      <c r="AX2" s="471"/>
    </row>
    <row r="3" spans="1:50" s="5" customFormat="1" x14ac:dyDescent="0.25">
      <c r="A3" s="540" t="s">
        <v>2</v>
      </c>
      <c r="B3" s="540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7"/>
      <c r="AW3" s="471"/>
      <c r="AX3" s="471"/>
    </row>
    <row r="4" spans="1:50" s="5" customFormat="1" ht="6" customHeight="1" x14ac:dyDescent="0.25">
      <c r="D4" s="378"/>
      <c r="E4" s="378"/>
      <c r="F4" s="378"/>
      <c r="G4" s="378"/>
      <c r="H4" s="378"/>
      <c r="I4" s="378"/>
      <c r="J4" s="378"/>
      <c r="M4" s="163"/>
      <c r="N4" s="163"/>
      <c r="O4" s="163"/>
      <c r="P4" s="163"/>
      <c r="R4" s="7"/>
      <c r="T4" s="163"/>
      <c r="U4" s="163"/>
      <c r="V4" s="163"/>
      <c r="W4" s="163"/>
      <c r="Y4" s="7"/>
      <c r="Z4" s="7"/>
      <c r="AA4" s="162"/>
      <c r="AB4" s="162"/>
      <c r="AC4" s="162"/>
      <c r="AD4" s="162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W4" s="471"/>
      <c r="AX4" s="471"/>
    </row>
    <row r="5" spans="1:50" s="5" customFormat="1" x14ac:dyDescent="0.25">
      <c r="A5" s="546" t="s">
        <v>3</v>
      </c>
      <c r="B5" s="546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7"/>
      <c r="AF5" s="547"/>
      <c r="AG5" s="547"/>
      <c r="AH5" s="547"/>
      <c r="AI5" s="547"/>
      <c r="AJ5" s="547"/>
      <c r="AK5" s="525"/>
      <c r="AL5" s="525"/>
      <c r="AM5" s="525"/>
      <c r="AN5" s="525"/>
      <c r="AO5" s="525"/>
      <c r="AP5" s="525"/>
      <c r="AQ5" s="525"/>
      <c r="AT5" s="211" t="s">
        <v>184</v>
      </c>
      <c r="AU5" s="189"/>
      <c r="AV5" s="189"/>
      <c r="AW5" s="189"/>
      <c r="AX5" s="190"/>
    </row>
    <row r="6" spans="1:50" s="5" customFormat="1" ht="6" customHeight="1" x14ac:dyDescent="0.25">
      <c r="D6" s="378"/>
      <c r="E6" s="378"/>
      <c r="F6" s="378"/>
      <c r="G6" s="378"/>
      <c r="H6" s="378"/>
      <c r="I6" s="378"/>
      <c r="J6" s="378"/>
      <c r="M6" s="163"/>
      <c r="N6" s="163"/>
      <c r="O6" s="163"/>
      <c r="P6" s="163"/>
      <c r="R6" s="7"/>
      <c r="T6" s="163"/>
      <c r="U6" s="163"/>
      <c r="V6" s="163"/>
      <c r="W6" s="163"/>
      <c r="Y6" s="7"/>
      <c r="Z6" s="7"/>
      <c r="AA6" s="162"/>
      <c r="AB6" s="162"/>
      <c r="AC6" s="162"/>
      <c r="AD6" s="162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T6" s="191"/>
      <c r="AU6" s="192"/>
      <c r="AV6" s="192"/>
      <c r="AW6" s="192"/>
      <c r="AX6" s="193"/>
    </row>
    <row r="7" spans="1:50" s="433" customFormat="1" x14ac:dyDescent="0.25">
      <c r="A7" s="435" t="s">
        <v>317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548" t="s">
        <v>318</v>
      </c>
      <c r="P7" s="548"/>
      <c r="Q7" s="548"/>
      <c r="R7" s="548"/>
      <c r="S7" s="548"/>
      <c r="T7" s="548"/>
      <c r="U7" s="548"/>
      <c r="V7" s="548"/>
      <c r="W7" s="548"/>
      <c r="X7" s="548"/>
      <c r="Y7" s="548"/>
      <c r="Z7" s="548"/>
      <c r="AA7" s="548"/>
      <c r="AB7" s="548"/>
      <c r="AC7" s="548"/>
      <c r="AD7" s="548"/>
      <c r="AE7" s="548"/>
      <c r="AF7" s="548"/>
      <c r="AG7" s="436"/>
      <c r="AH7" s="436"/>
      <c r="AI7" s="437"/>
      <c r="AJ7" s="437"/>
      <c r="AK7" s="437"/>
      <c r="AL7" s="437"/>
      <c r="AM7" s="437"/>
      <c r="AN7" s="437"/>
      <c r="AO7" s="437"/>
      <c r="AP7" s="437"/>
      <c r="AQ7" s="437" t="s">
        <v>308</v>
      </c>
      <c r="AT7" s="191"/>
      <c r="AU7" s="192"/>
      <c r="AV7" s="192"/>
      <c r="AW7" s="192"/>
      <c r="AX7" s="193"/>
    </row>
    <row r="8" spans="1:50" ht="6.75" customHeight="1" x14ac:dyDescent="0.25">
      <c r="AT8" s="194"/>
      <c r="AU8" s="195"/>
      <c r="AV8" s="195"/>
      <c r="AW8" s="195"/>
      <c r="AX8" s="196"/>
    </row>
    <row r="9" spans="1:50" x14ac:dyDescent="0.25">
      <c r="A9" s="6" t="s">
        <v>14</v>
      </c>
      <c r="B9" s="5" t="s">
        <v>5</v>
      </c>
      <c r="AT9" s="194"/>
      <c r="AU9" s="195"/>
      <c r="AV9" s="195"/>
      <c r="AW9" s="195"/>
      <c r="AX9" s="196"/>
    </row>
    <row r="10" spans="1:50" ht="15.75" thickBot="1" x14ac:dyDescent="0.3">
      <c r="A10" s="8" t="s">
        <v>16</v>
      </c>
      <c r="B10" s="5" t="s">
        <v>13</v>
      </c>
      <c r="O10" s="35" t="s">
        <v>277</v>
      </c>
      <c r="P10" s="34"/>
      <c r="S10" s="554" t="s">
        <v>278</v>
      </c>
      <c r="T10" s="525"/>
      <c r="U10" s="525"/>
      <c r="V10" s="525"/>
      <c r="W10" s="161"/>
      <c r="X10" s="2"/>
      <c r="Y10" s="541" t="s">
        <v>10</v>
      </c>
      <c r="Z10" s="525"/>
      <c r="AA10" s="164"/>
      <c r="AB10" s="164"/>
      <c r="AC10" s="164"/>
      <c r="AD10" s="164"/>
      <c r="AE10" s="3"/>
      <c r="AF10" s="2" t="s">
        <v>70</v>
      </c>
      <c r="AH10" s="3" t="s">
        <v>11</v>
      </c>
      <c r="AI10" s="3"/>
      <c r="AJ10" s="2" t="s">
        <v>12</v>
      </c>
      <c r="AT10" s="194"/>
      <c r="AU10" s="195"/>
      <c r="AV10" s="195"/>
      <c r="AW10" s="195"/>
      <c r="AX10" s="196"/>
    </row>
    <row r="11" spans="1:50" ht="16.5" thickTop="1" thickBot="1" x14ac:dyDescent="0.3">
      <c r="A11" s="23"/>
      <c r="B11" s="56" t="s">
        <v>6</v>
      </c>
      <c r="C11" s="24" t="s">
        <v>7</v>
      </c>
      <c r="D11" s="24" t="s">
        <v>296</v>
      </c>
      <c r="E11" s="24"/>
      <c r="F11" s="24"/>
      <c r="G11" s="24"/>
      <c r="H11" s="24"/>
      <c r="I11" s="24"/>
      <c r="J11" s="24"/>
      <c r="K11" s="24"/>
      <c r="L11" s="24"/>
      <c r="M11" s="24"/>
      <c r="N11" s="543">
        <v>203</v>
      </c>
      <c r="O11" s="553"/>
      <c r="P11" s="544"/>
      <c r="Q11" s="24"/>
      <c r="R11" s="25" t="s">
        <v>31</v>
      </c>
      <c r="S11" s="543">
        <v>620</v>
      </c>
      <c r="T11" s="551"/>
      <c r="U11" s="551"/>
      <c r="V11" s="552"/>
      <c r="W11" s="174"/>
      <c r="X11" s="26" t="s">
        <v>31</v>
      </c>
      <c r="Y11" s="543">
        <v>486</v>
      </c>
      <c r="Z11" s="544"/>
      <c r="AA11" s="408"/>
      <c r="AB11" s="408" t="s">
        <v>32</v>
      </c>
      <c r="AC11" s="408"/>
      <c r="AD11" s="408"/>
      <c r="AE11" s="533">
        <f>N11+S11+Y11</f>
        <v>1309</v>
      </c>
      <c r="AF11" s="529"/>
      <c r="AG11" s="26" t="s">
        <v>31</v>
      </c>
      <c r="AH11" s="481">
        <v>567</v>
      </c>
      <c r="AI11" s="26" t="s">
        <v>32</v>
      </c>
      <c r="AJ11" s="71">
        <f>AE11+AH11</f>
        <v>1876</v>
      </c>
      <c r="AK11" s="25"/>
      <c r="AL11" s="25"/>
      <c r="AM11" s="25"/>
      <c r="AN11" s="25"/>
      <c r="AO11" s="25"/>
      <c r="AP11" s="25"/>
      <c r="AQ11" s="25"/>
      <c r="AT11" s="194"/>
      <c r="AU11" s="195"/>
      <c r="AV11" s="195"/>
      <c r="AW11" s="195"/>
      <c r="AX11" s="196"/>
    </row>
    <row r="12" spans="1:50" ht="16.5" thickTop="1" thickBot="1" x14ac:dyDescent="0.3">
      <c r="A12" s="4"/>
      <c r="B12" s="57" t="s">
        <v>8</v>
      </c>
      <c r="C12" t="s">
        <v>7</v>
      </c>
      <c r="D12" s="34" t="s">
        <v>309</v>
      </c>
      <c r="E12" s="34"/>
      <c r="F12" s="34"/>
      <c r="N12" s="545">
        <v>200</v>
      </c>
      <c r="O12" s="553"/>
      <c r="P12" s="544"/>
      <c r="R12" s="1" t="s">
        <v>31</v>
      </c>
      <c r="S12" s="545">
        <v>608</v>
      </c>
      <c r="T12" s="549"/>
      <c r="U12" s="549"/>
      <c r="V12" s="550"/>
      <c r="W12" s="175"/>
      <c r="X12" s="14" t="s">
        <v>31</v>
      </c>
      <c r="Y12" s="545">
        <v>452</v>
      </c>
      <c r="Z12" s="544"/>
      <c r="AA12" s="409"/>
      <c r="AB12" s="409" t="s">
        <v>32</v>
      </c>
      <c r="AC12" s="409"/>
      <c r="AD12" s="409"/>
      <c r="AE12" s="534">
        <f>N12+S12+Y12</f>
        <v>1260</v>
      </c>
      <c r="AF12" s="535"/>
      <c r="AG12" s="14" t="s">
        <v>31</v>
      </c>
      <c r="AH12" s="482">
        <v>579</v>
      </c>
      <c r="AI12" s="14" t="s">
        <v>32</v>
      </c>
      <c r="AJ12" s="291">
        <f>AE12+AH12</f>
        <v>1839</v>
      </c>
      <c r="AT12" s="194"/>
      <c r="AU12" s="195"/>
      <c r="AV12" s="195"/>
      <c r="AW12" s="195"/>
      <c r="AX12" s="196"/>
    </row>
    <row r="13" spans="1:50" ht="15.75" thickTop="1" x14ac:dyDescent="0.25">
      <c r="A13" s="23"/>
      <c r="B13" s="56" t="s">
        <v>9</v>
      </c>
      <c r="C13" s="24" t="s">
        <v>288</v>
      </c>
      <c r="D13" s="24"/>
      <c r="E13" s="28"/>
      <c r="F13" s="28"/>
      <c r="G13" s="28"/>
      <c r="H13" s="28"/>
      <c r="I13" s="28"/>
      <c r="J13" s="28"/>
      <c r="K13" s="24"/>
      <c r="L13" s="28"/>
      <c r="M13" s="28"/>
      <c r="N13" s="531">
        <f>AVERAGE(N11:P12)</f>
        <v>201.5</v>
      </c>
      <c r="O13" s="532"/>
      <c r="P13" s="532"/>
      <c r="Q13" s="28"/>
      <c r="R13" s="25"/>
      <c r="S13" s="536">
        <f>AVERAGE(S11:V12)</f>
        <v>614</v>
      </c>
      <c r="T13" s="537"/>
      <c r="U13" s="537"/>
      <c r="V13" s="537"/>
      <c r="W13" s="29"/>
      <c r="X13" s="29"/>
      <c r="Y13" s="536">
        <f>AVERAGE(Y11:Y12)</f>
        <v>469</v>
      </c>
      <c r="Z13" s="537"/>
      <c r="AA13" s="29"/>
      <c r="AB13" s="417" t="s">
        <v>32</v>
      </c>
      <c r="AC13" s="29"/>
      <c r="AD13" s="29"/>
      <c r="AE13" s="528">
        <f>AVERAGE(AE11:AF12)</f>
        <v>1284.5</v>
      </c>
      <c r="AF13" s="529"/>
      <c r="AG13" s="30"/>
      <c r="AH13" s="480">
        <f>AVERAGE(AH11:AH12)</f>
        <v>573</v>
      </c>
      <c r="AI13" s="30"/>
      <c r="AJ13" s="292">
        <f>AVERAGE(AJ11:AJ12)</f>
        <v>1857.5</v>
      </c>
      <c r="AK13" s="29"/>
      <c r="AL13" s="29"/>
      <c r="AM13" s="29"/>
      <c r="AN13" s="29"/>
      <c r="AO13" s="29"/>
      <c r="AP13" s="29"/>
      <c r="AQ13" s="29"/>
      <c r="AT13" s="194"/>
      <c r="AU13" s="195"/>
      <c r="AV13" s="195"/>
      <c r="AW13" s="195"/>
      <c r="AX13" s="196"/>
    </row>
    <row r="14" spans="1:50" x14ac:dyDescent="0.25">
      <c r="AE14" s="530">
        <f>ROUND(AE13/AJ13,7)</f>
        <v>0.69152089999999999</v>
      </c>
      <c r="AF14" s="530"/>
      <c r="AH14" s="21">
        <f>1-AE14</f>
        <v>0.30847910000000001</v>
      </c>
      <c r="AJ14" s="101">
        <f>AE14+AH14</f>
        <v>1</v>
      </c>
      <c r="AT14" s="194"/>
      <c r="AU14" s="195"/>
      <c r="AV14" s="195"/>
      <c r="AW14" s="195"/>
      <c r="AX14" s="196"/>
    </row>
    <row r="15" spans="1:50" ht="42" customHeight="1" thickBot="1" x14ac:dyDescent="0.3">
      <c r="A15" s="9" t="s">
        <v>17</v>
      </c>
      <c r="B15" s="5" t="s">
        <v>15</v>
      </c>
      <c r="D15" s="418" t="s">
        <v>279</v>
      </c>
      <c r="E15" s="538" t="s">
        <v>111</v>
      </c>
      <c r="F15" s="539"/>
      <c r="G15" s="539"/>
      <c r="H15" s="539"/>
      <c r="I15" s="539"/>
      <c r="J15" s="13" t="s">
        <v>31</v>
      </c>
      <c r="K15" s="16" t="s">
        <v>280</v>
      </c>
      <c r="L15" s="524" t="s">
        <v>111</v>
      </c>
      <c r="M15" s="526"/>
      <c r="N15" s="526"/>
      <c r="O15" s="526"/>
      <c r="P15" s="526"/>
      <c r="Q15" s="13" t="s">
        <v>31</v>
      </c>
      <c r="R15" s="16" t="s">
        <v>63</v>
      </c>
      <c r="S15" s="524" t="s">
        <v>111</v>
      </c>
      <c r="T15" s="526"/>
      <c r="U15" s="526"/>
      <c r="V15" s="526"/>
      <c r="W15" s="526"/>
      <c r="X15" s="13" t="s">
        <v>31</v>
      </c>
      <c r="Y15" s="16" t="s">
        <v>64</v>
      </c>
      <c r="Z15" s="524" t="s">
        <v>112</v>
      </c>
      <c r="AA15" s="526"/>
      <c r="AB15" s="526"/>
      <c r="AC15" s="526"/>
      <c r="AD15" s="526"/>
      <c r="AE15" s="13" t="s">
        <v>32</v>
      </c>
      <c r="AF15" s="16" t="s">
        <v>33</v>
      </c>
      <c r="AG15" s="19" t="s">
        <v>35</v>
      </c>
      <c r="AH15" s="16" t="s">
        <v>34</v>
      </c>
      <c r="AI15" s="13" t="s">
        <v>32</v>
      </c>
      <c r="AJ15" s="16" t="s">
        <v>37</v>
      </c>
      <c r="AK15" s="1" t="s">
        <v>36</v>
      </c>
      <c r="AL15" s="16" t="s">
        <v>38</v>
      </c>
      <c r="AM15" s="13" t="s">
        <v>32</v>
      </c>
      <c r="AN15" s="16" t="s">
        <v>39</v>
      </c>
      <c r="AO15" s="13" t="s">
        <v>32</v>
      </c>
      <c r="AP15" s="16" t="s">
        <v>40</v>
      </c>
      <c r="AQ15" s="16" t="s">
        <v>41</v>
      </c>
      <c r="AT15" s="197" t="s">
        <v>185</v>
      </c>
      <c r="AU15" s="472" t="s">
        <v>316</v>
      </c>
      <c r="AV15" s="473" t="s">
        <v>278</v>
      </c>
      <c r="AW15" s="473" t="s">
        <v>10</v>
      </c>
      <c r="AX15" s="474" t="s">
        <v>11</v>
      </c>
    </row>
    <row r="16" spans="1:50" ht="16.5" thickTop="1" thickBot="1" x14ac:dyDescent="0.3">
      <c r="A16" s="23"/>
      <c r="B16" s="56" t="s">
        <v>6</v>
      </c>
      <c r="C16" s="24" t="s">
        <v>18</v>
      </c>
      <c r="D16" s="73">
        <f>ROUND($N$13/F16,5)</f>
        <v>13.43333</v>
      </c>
      <c r="E16" s="411" t="s">
        <v>183</v>
      </c>
      <c r="F16" s="411">
        <v>15</v>
      </c>
      <c r="G16" s="414" t="s">
        <v>182</v>
      </c>
      <c r="H16" s="414">
        <v>1</v>
      </c>
      <c r="I16" s="416" t="s">
        <v>181</v>
      </c>
      <c r="J16" s="368" t="s">
        <v>31</v>
      </c>
      <c r="K16" s="73">
        <f>ROUND($S$13/M16,5)</f>
        <v>36.117649999999998</v>
      </c>
      <c r="L16" s="56" t="s">
        <v>183</v>
      </c>
      <c r="M16" s="165">
        <v>17</v>
      </c>
      <c r="N16" s="69" t="s">
        <v>182</v>
      </c>
      <c r="O16" s="69">
        <v>1</v>
      </c>
      <c r="P16" s="167" t="s">
        <v>181</v>
      </c>
      <c r="Q16" s="26" t="s">
        <v>31</v>
      </c>
      <c r="R16" s="73">
        <f>ROUND($Y$13/T16,5)</f>
        <v>27.588239999999999</v>
      </c>
      <c r="S16" s="56" t="s">
        <v>183</v>
      </c>
      <c r="T16" s="165">
        <v>17</v>
      </c>
      <c r="U16" s="69" t="s">
        <v>182</v>
      </c>
      <c r="V16" s="69">
        <v>1</v>
      </c>
      <c r="W16" s="167" t="s">
        <v>181</v>
      </c>
      <c r="X16" s="26" t="s">
        <v>31</v>
      </c>
      <c r="Y16" s="73">
        <f>ROUND($AH$13/AA16,5)</f>
        <v>35.8125</v>
      </c>
      <c r="Z16" s="56" t="s">
        <v>183</v>
      </c>
      <c r="AA16" s="165">
        <v>16</v>
      </c>
      <c r="AB16" s="69" t="s">
        <v>182</v>
      </c>
      <c r="AC16" s="69">
        <v>1</v>
      </c>
      <c r="AD16" s="167" t="s">
        <v>181</v>
      </c>
      <c r="AE16" s="26" t="s">
        <v>32</v>
      </c>
      <c r="AF16" s="73">
        <f>ROUND(D16+K16+R16+Y16,5)</f>
        <v>112.95171999999999</v>
      </c>
      <c r="AG16" s="31" t="s">
        <v>35</v>
      </c>
      <c r="AH16" s="483">
        <v>128</v>
      </c>
      <c r="AI16" s="26" t="s">
        <v>32</v>
      </c>
      <c r="AJ16" s="73">
        <f>ROUND(IF(AH16=0,0,AF16/AH16),5)</f>
        <v>0.88244</v>
      </c>
      <c r="AK16" s="25" t="s">
        <v>36</v>
      </c>
      <c r="AL16" s="485">
        <v>7409757</v>
      </c>
      <c r="AM16" s="26" t="s">
        <v>32</v>
      </c>
      <c r="AN16" s="289">
        <f t="shared" ref="AN16:AN23" si="0">ROUND(IF(AL16=0,AT16*AF16,AL16*AJ16),0)</f>
        <v>6538666</v>
      </c>
      <c r="AO16" s="26" t="s">
        <v>32</v>
      </c>
      <c r="AP16" s="470">
        <f>ROUND(AN16*$AE$14,0)</f>
        <v>4521624</v>
      </c>
      <c r="AQ16" s="46">
        <f>AN16-AP16</f>
        <v>2017042</v>
      </c>
      <c r="AT16" s="198">
        <v>36521</v>
      </c>
      <c r="AU16" s="195">
        <v>15</v>
      </c>
      <c r="AV16" s="195">
        <v>17</v>
      </c>
      <c r="AW16" s="195">
        <v>17</v>
      </c>
      <c r="AX16" s="196">
        <v>16</v>
      </c>
    </row>
    <row r="17" spans="1:50" ht="16.5" thickTop="1" thickBot="1" x14ac:dyDescent="0.3">
      <c r="A17" s="4"/>
      <c r="B17" s="57" t="s">
        <v>8</v>
      </c>
      <c r="C17" t="s">
        <v>19</v>
      </c>
      <c r="D17" s="117">
        <f t="shared" ref="D17:D23" si="1">ROUND($N$13/F17,5)</f>
        <v>0.57571000000000006</v>
      </c>
      <c r="E17" s="410" t="s">
        <v>183</v>
      </c>
      <c r="F17" s="410">
        <f>IF($AJ$12&gt;=1200,AU17,AU17*0.9)</f>
        <v>350</v>
      </c>
      <c r="G17" s="407" t="s">
        <v>182</v>
      </c>
      <c r="H17" s="407">
        <v>1</v>
      </c>
      <c r="I17" s="114" t="s">
        <v>181</v>
      </c>
      <c r="J17" s="13" t="s">
        <v>31</v>
      </c>
      <c r="K17" s="117">
        <f t="shared" ref="K17:K23" si="2">ROUND($S$13/M17,5)</f>
        <v>1.7542899999999999</v>
      </c>
      <c r="L17" s="57" t="s">
        <v>183</v>
      </c>
      <c r="M17" s="166">
        <f>IF($AJ$12&gt;=1200,AV17,AV17*0.9)</f>
        <v>350</v>
      </c>
      <c r="N17" s="161" t="s">
        <v>182</v>
      </c>
      <c r="O17" s="161">
        <v>1</v>
      </c>
      <c r="P17" s="168" t="s">
        <v>181</v>
      </c>
      <c r="Q17" s="13" t="s">
        <v>31</v>
      </c>
      <c r="R17" s="117">
        <f t="shared" ref="R17:R23" si="3">ROUND($Y$13/T17,5)</f>
        <v>1.34</v>
      </c>
      <c r="S17" s="57" t="s">
        <v>183</v>
      </c>
      <c r="T17" s="336">
        <f>IF($AJ$12&gt;=1200,AW17,AW17*0.9)</f>
        <v>350</v>
      </c>
      <c r="U17" s="161" t="s">
        <v>182</v>
      </c>
      <c r="V17" s="161">
        <v>1</v>
      </c>
      <c r="W17" s="168" t="s">
        <v>181</v>
      </c>
      <c r="X17" s="13" t="s">
        <v>31</v>
      </c>
      <c r="Y17" s="117">
        <f t="shared" ref="Y17:Y23" si="4">ROUND($AH$13/AA17,5)</f>
        <v>2.2919999999999998</v>
      </c>
      <c r="Z17" s="57" t="s">
        <v>183</v>
      </c>
      <c r="AA17" s="166">
        <f>IF($AJ$12&gt;=1200,AX17,AX17*0.9)</f>
        <v>250</v>
      </c>
      <c r="AB17" s="161" t="s">
        <v>182</v>
      </c>
      <c r="AC17" s="161">
        <v>1</v>
      </c>
      <c r="AD17" s="168" t="s">
        <v>181</v>
      </c>
      <c r="AE17" s="13" t="s">
        <v>32</v>
      </c>
      <c r="AF17" s="117">
        <f t="shared" ref="AF17:AF23" si="5">ROUND(D17+K17+R17+Y17,5)</f>
        <v>5.9619999999999997</v>
      </c>
      <c r="AG17" s="19" t="s">
        <v>35</v>
      </c>
      <c r="AH17" s="484">
        <v>6</v>
      </c>
      <c r="AI17" s="13" t="s">
        <v>32</v>
      </c>
      <c r="AJ17" s="117">
        <f t="shared" ref="AJ17:AJ23" si="6">ROUND(IF(AH17=0,0,AF17/AH17),5)</f>
        <v>0.99367000000000005</v>
      </c>
      <c r="AK17" s="1" t="s">
        <v>36</v>
      </c>
      <c r="AL17" s="486">
        <v>297647</v>
      </c>
      <c r="AM17" s="13" t="s">
        <v>32</v>
      </c>
      <c r="AN17" s="48">
        <f t="shared" si="0"/>
        <v>295763</v>
      </c>
      <c r="AO17" s="64" t="s">
        <v>32</v>
      </c>
      <c r="AP17" s="48">
        <f t="shared" ref="AP17:AP23" si="7">ROUND(AN17*$AE$14,0)</f>
        <v>204526</v>
      </c>
      <c r="AQ17" s="48">
        <f t="shared" ref="AQ17:AQ23" si="8">AN17-AP17</f>
        <v>91237</v>
      </c>
      <c r="AT17" s="198">
        <v>36521</v>
      </c>
      <c r="AU17" s="195">
        <v>350</v>
      </c>
      <c r="AV17" s="195">
        <v>350</v>
      </c>
      <c r="AW17" s="195">
        <v>350</v>
      </c>
      <c r="AX17" s="196">
        <v>250</v>
      </c>
    </row>
    <row r="18" spans="1:50" ht="16.5" thickTop="1" thickBot="1" x14ac:dyDescent="0.3">
      <c r="A18" s="23"/>
      <c r="B18" s="56" t="s">
        <v>9</v>
      </c>
      <c r="C18" s="24" t="s">
        <v>20</v>
      </c>
      <c r="D18" s="73">
        <f t="shared" si="1"/>
        <v>0.25187999999999999</v>
      </c>
      <c r="E18" s="411" t="s">
        <v>183</v>
      </c>
      <c r="F18" s="411">
        <f t="shared" ref="F18:F23" si="9">IF($AJ$12&gt;=1200,AU18,AU18*0.9)</f>
        <v>800</v>
      </c>
      <c r="G18" s="414" t="s">
        <v>182</v>
      </c>
      <c r="H18" s="414">
        <v>1</v>
      </c>
      <c r="I18" s="416" t="s">
        <v>181</v>
      </c>
      <c r="J18" s="368" t="s">
        <v>31</v>
      </c>
      <c r="K18" s="73">
        <f t="shared" si="2"/>
        <v>0.76749999999999996</v>
      </c>
      <c r="L18" s="56" t="s">
        <v>183</v>
      </c>
      <c r="M18" s="165">
        <f t="shared" ref="M18:M23" si="10">IF($AJ$12&gt;=1200,AV18,AV18*0.9)</f>
        <v>800</v>
      </c>
      <c r="N18" s="69" t="s">
        <v>182</v>
      </c>
      <c r="O18" s="69">
        <v>1</v>
      </c>
      <c r="P18" s="167" t="s">
        <v>181</v>
      </c>
      <c r="Q18" s="26" t="s">
        <v>31</v>
      </c>
      <c r="R18" s="73">
        <f t="shared" si="3"/>
        <v>0.58625000000000005</v>
      </c>
      <c r="S18" s="56" t="s">
        <v>183</v>
      </c>
      <c r="T18" s="337">
        <f t="shared" ref="T18:T23" si="11">IF($AJ$12&gt;=1200,AW18,AW18*0.9)</f>
        <v>800</v>
      </c>
      <c r="U18" s="69" t="s">
        <v>182</v>
      </c>
      <c r="V18" s="69">
        <v>1</v>
      </c>
      <c r="W18" s="167" t="s">
        <v>181</v>
      </c>
      <c r="X18" s="26" t="s">
        <v>31</v>
      </c>
      <c r="Y18" s="73">
        <f t="shared" si="4"/>
        <v>0.71625000000000005</v>
      </c>
      <c r="Z18" s="56" t="s">
        <v>183</v>
      </c>
      <c r="AA18" s="165">
        <f t="shared" ref="AA18:AA23" si="12">IF($AJ$12&gt;=1200,AX18,AX18*0.9)</f>
        <v>800</v>
      </c>
      <c r="AB18" s="69" t="s">
        <v>182</v>
      </c>
      <c r="AC18" s="69">
        <v>1</v>
      </c>
      <c r="AD18" s="167" t="s">
        <v>181</v>
      </c>
      <c r="AE18" s="26" t="s">
        <v>32</v>
      </c>
      <c r="AF18" s="73">
        <f t="shared" si="5"/>
        <v>2.3218800000000002</v>
      </c>
      <c r="AG18" s="31" t="s">
        <v>35</v>
      </c>
      <c r="AH18" s="483">
        <v>3</v>
      </c>
      <c r="AI18" s="26" t="s">
        <v>32</v>
      </c>
      <c r="AJ18" s="73">
        <f t="shared" si="6"/>
        <v>0.77395999999999998</v>
      </c>
      <c r="AK18" s="25" t="s">
        <v>36</v>
      </c>
      <c r="AL18" s="485">
        <v>188814</v>
      </c>
      <c r="AM18" s="26" t="s">
        <v>32</v>
      </c>
      <c r="AN18" s="46">
        <f t="shared" si="0"/>
        <v>146134</v>
      </c>
      <c r="AO18" s="26" t="s">
        <v>32</v>
      </c>
      <c r="AP18" s="46">
        <f t="shared" si="7"/>
        <v>101055</v>
      </c>
      <c r="AQ18" s="46">
        <f t="shared" si="8"/>
        <v>45079</v>
      </c>
      <c r="AT18" s="198">
        <v>36521</v>
      </c>
      <c r="AU18" s="195">
        <v>800</v>
      </c>
      <c r="AV18" s="195">
        <v>800</v>
      </c>
      <c r="AW18" s="195">
        <v>800</v>
      </c>
      <c r="AX18" s="196">
        <v>800</v>
      </c>
    </row>
    <row r="19" spans="1:50" ht="16.5" thickTop="1" thickBot="1" x14ac:dyDescent="0.3">
      <c r="A19" s="4"/>
      <c r="B19" s="57" t="s">
        <v>21</v>
      </c>
      <c r="C19" t="s">
        <v>22</v>
      </c>
      <c r="D19" s="117">
        <f t="shared" si="1"/>
        <v>0.25187999999999999</v>
      </c>
      <c r="E19" s="410" t="s">
        <v>183</v>
      </c>
      <c r="F19" s="410">
        <f t="shared" si="9"/>
        <v>800</v>
      </c>
      <c r="G19" s="407" t="s">
        <v>182</v>
      </c>
      <c r="H19" s="407">
        <v>1</v>
      </c>
      <c r="I19" s="114" t="s">
        <v>181</v>
      </c>
      <c r="J19" s="13" t="s">
        <v>31</v>
      </c>
      <c r="K19" s="117">
        <f t="shared" si="2"/>
        <v>0.76749999999999996</v>
      </c>
      <c r="L19" s="57" t="s">
        <v>183</v>
      </c>
      <c r="M19" s="166">
        <f t="shared" si="10"/>
        <v>800</v>
      </c>
      <c r="N19" s="161" t="s">
        <v>182</v>
      </c>
      <c r="O19" s="161">
        <v>1</v>
      </c>
      <c r="P19" s="168" t="s">
        <v>181</v>
      </c>
      <c r="Q19" s="13" t="s">
        <v>31</v>
      </c>
      <c r="R19" s="117">
        <f t="shared" si="3"/>
        <v>0.58625000000000005</v>
      </c>
      <c r="S19" s="57" t="s">
        <v>183</v>
      </c>
      <c r="T19" s="336">
        <f t="shared" si="11"/>
        <v>800</v>
      </c>
      <c r="U19" s="161" t="s">
        <v>182</v>
      </c>
      <c r="V19" s="161">
        <v>1</v>
      </c>
      <c r="W19" s="168" t="s">
        <v>181</v>
      </c>
      <c r="X19" s="13" t="s">
        <v>31</v>
      </c>
      <c r="Y19" s="117">
        <f t="shared" si="4"/>
        <v>0.71625000000000005</v>
      </c>
      <c r="Z19" s="57" t="s">
        <v>183</v>
      </c>
      <c r="AA19" s="166">
        <f t="shared" si="12"/>
        <v>800</v>
      </c>
      <c r="AB19" s="161" t="s">
        <v>182</v>
      </c>
      <c r="AC19" s="161">
        <v>1</v>
      </c>
      <c r="AD19" s="168" t="s">
        <v>181</v>
      </c>
      <c r="AE19" s="13" t="s">
        <v>32</v>
      </c>
      <c r="AF19" s="117">
        <f t="shared" si="5"/>
        <v>2.3218800000000002</v>
      </c>
      <c r="AG19" s="19" t="s">
        <v>35</v>
      </c>
      <c r="AH19" s="484">
        <v>5.2</v>
      </c>
      <c r="AI19" s="13" t="s">
        <v>32</v>
      </c>
      <c r="AJ19" s="117">
        <f t="shared" si="6"/>
        <v>0.44651999999999997</v>
      </c>
      <c r="AK19" s="1" t="s">
        <v>36</v>
      </c>
      <c r="AL19" s="486">
        <v>315360</v>
      </c>
      <c r="AM19" s="13" t="s">
        <v>32</v>
      </c>
      <c r="AN19" s="48">
        <f t="shared" si="0"/>
        <v>140815</v>
      </c>
      <c r="AO19" s="64" t="s">
        <v>32</v>
      </c>
      <c r="AP19" s="48">
        <f t="shared" si="7"/>
        <v>97377</v>
      </c>
      <c r="AQ19" s="48">
        <f t="shared" si="8"/>
        <v>43438</v>
      </c>
      <c r="AT19" s="198">
        <v>46929</v>
      </c>
      <c r="AU19" s="195">
        <v>800</v>
      </c>
      <c r="AV19" s="195">
        <v>800</v>
      </c>
      <c r="AW19" s="195">
        <v>800</v>
      </c>
      <c r="AX19" s="196">
        <v>800</v>
      </c>
    </row>
    <row r="20" spans="1:50" ht="16.5" thickTop="1" thickBot="1" x14ac:dyDescent="0.3">
      <c r="A20" s="23"/>
      <c r="B20" s="56" t="s">
        <v>23</v>
      </c>
      <c r="C20" s="24" t="s">
        <v>24</v>
      </c>
      <c r="D20" s="73">
        <f t="shared" si="1"/>
        <v>1.7675399999999999</v>
      </c>
      <c r="E20" s="411" t="s">
        <v>183</v>
      </c>
      <c r="F20" s="411">
        <f t="shared" si="9"/>
        <v>114</v>
      </c>
      <c r="G20" s="414" t="s">
        <v>182</v>
      </c>
      <c r="H20" s="414">
        <v>1</v>
      </c>
      <c r="I20" s="416" t="s">
        <v>181</v>
      </c>
      <c r="J20" s="368" t="s">
        <v>31</v>
      </c>
      <c r="K20" s="73">
        <f t="shared" si="2"/>
        <v>5.3859599999999999</v>
      </c>
      <c r="L20" s="56" t="s">
        <v>183</v>
      </c>
      <c r="M20" s="165">
        <f t="shared" si="10"/>
        <v>114</v>
      </c>
      <c r="N20" s="69" t="s">
        <v>182</v>
      </c>
      <c r="O20" s="69">
        <v>1</v>
      </c>
      <c r="P20" s="167" t="s">
        <v>181</v>
      </c>
      <c r="Q20" s="26" t="s">
        <v>31</v>
      </c>
      <c r="R20" s="73">
        <f t="shared" si="3"/>
        <v>1.5032099999999999</v>
      </c>
      <c r="S20" s="56" t="s">
        <v>183</v>
      </c>
      <c r="T20" s="337">
        <f t="shared" si="11"/>
        <v>312</v>
      </c>
      <c r="U20" s="69" t="s">
        <v>182</v>
      </c>
      <c r="V20" s="69">
        <v>1</v>
      </c>
      <c r="W20" s="167" t="s">
        <v>181</v>
      </c>
      <c r="X20" s="26" t="s">
        <v>31</v>
      </c>
      <c r="Y20" s="73">
        <f t="shared" si="4"/>
        <v>1.8132900000000001</v>
      </c>
      <c r="Z20" s="56" t="s">
        <v>183</v>
      </c>
      <c r="AA20" s="165">
        <f t="shared" si="12"/>
        <v>316</v>
      </c>
      <c r="AB20" s="69" t="s">
        <v>182</v>
      </c>
      <c r="AC20" s="69">
        <v>1</v>
      </c>
      <c r="AD20" s="167" t="s">
        <v>181</v>
      </c>
      <c r="AE20" s="26" t="s">
        <v>32</v>
      </c>
      <c r="AF20" s="73">
        <f t="shared" si="5"/>
        <v>10.47</v>
      </c>
      <c r="AG20" s="31" t="s">
        <v>35</v>
      </c>
      <c r="AH20" s="483">
        <v>8.1999999999999993</v>
      </c>
      <c r="AI20" s="26" t="s">
        <v>32</v>
      </c>
      <c r="AJ20" s="73">
        <f t="shared" si="6"/>
        <v>1.2768299999999999</v>
      </c>
      <c r="AK20" s="25" t="s">
        <v>36</v>
      </c>
      <c r="AL20" s="485">
        <v>166284</v>
      </c>
      <c r="AM20" s="26" t="s">
        <v>32</v>
      </c>
      <c r="AN20" s="46">
        <f t="shared" si="0"/>
        <v>212316</v>
      </c>
      <c r="AO20" s="26" t="s">
        <v>32</v>
      </c>
      <c r="AP20" s="46">
        <f t="shared" si="7"/>
        <v>146821</v>
      </c>
      <c r="AQ20" s="46">
        <f t="shared" si="8"/>
        <v>65495</v>
      </c>
      <c r="AT20" s="198">
        <v>15120</v>
      </c>
      <c r="AU20" s="195">
        <v>114</v>
      </c>
      <c r="AV20" s="195">
        <v>114</v>
      </c>
      <c r="AW20" s="195">
        <v>312</v>
      </c>
      <c r="AX20" s="196">
        <v>316</v>
      </c>
    </row>
    <row r="21" spans="1:50" ht="16.5" thickTop="1" thickBot="1" x14ac:dyDescent="0.3">
      <c r="A21" s="4"/>
      <c r="B21" s="57" t="s">
        <v>25</v>
      </c>
      <c r="C21" t="s">
        <v>26</v>
      </c>
      <c r="D21" s="117">
        <f t="shared" si="1"/>
        <v>0.40300000000000002</v>
      </c>
      <c r="E21" s="410" t="s">
        <v>183</v>
      </c>
      <c r="F21" s="410">
        <f t="shared" si="9"/>
        <v>500</v>
      </c>
      <c r="G21" s="407" t="s">
        <v>182</v>
      </c>
      <c r="H21" s="407">
        <v>1</v>
      </c>
      <c r="I21" s="114" t="s">
        <v>181</v>
      </c>
      <c r="J21" s="13" t="s">
        <v>31</v>
      </c>
      <c r="K21" s="117">
        <f t="shared" si="2"/>
        <v>1.228</v>
      </c>
      <c r="L21" s="57" t="s">
        <v>183</v>
      </c>
      <c r="M21" s="166">
        <f t="shared" si="10"/>
        <v>500</v>
      </c>
      <c r="N21" s="161" t="s">
        <v>182</v>
      </c>
      <c r="O21" s="161">
        <v>1</v>
      </c>
      <c r="P21" s="168" t="s">
        <v>181</v>
      </c>
      <c r="Q21" s="13" t="s">
        <v>31</v>
      </c>
      <c r="R21" s="117">
        <f t="shared" si="3"/>
        <v>0.93799999999999994</v>
      </c>
      <c r="S21" s="57" t="s">
        <v>183</v>
      </c>
      <c r="T21" s="336">
        <f t="shared" si="11"/>
        <v>500</v>
      </c>
      <c r="U21" s="161" t="s">
        <v>182</v>
      </c>
      <c r="V21" s="161">
        <v>1</v>
      </c>
      <c r="W21" s="168" t="s">
        <v>181</v>
      </c>
      <c r="X21" s="13" t="s">
        <v>31</v>
      </c>
      <c r="Y21" s="117">
        <f t="shared" si="4"/>
        <v>1.1459999999999999</v>
      </c>
      <c r="Z21" s="57" t="s">
        <v>183</v>
      </c>
      <c r="AA21" s="166">
        <f t="shared" si="12"/>
        <v>500</v>
      </c>
      <c r="AB21" s="161" t="s">
        <v>182</v>
      </c>
      <c r="AC21" s="161">
        <v>1</v>
      </c>
      <c r="AD21" s="168" t="s">
        <v>181</v>
      </c>
      <c r="AE21" s="13" t="s">
        <v>32</v>
      </c>
      <c r="AF21" s="117">
        <f t="shared" si="5"/>
        <v>3.7149999999999999</v>
      </c>
      <c r="AG21" s="19" t="s">
        <v>35</v>
      </c>
      <c r="AH21" s="484">
        <v>3.6</v>
      </c>
      <c r="AI21" s="13" t="s">
        <v>32</v>
      </c>
      <c r="AJ21" s="117">
        <f t="shared" si="6"/>
        <v>1.0319400000000001</v>
      </c>
      <c r="AK21" s="1" t="s">
        <v>36</v>
      </c>
      <c r="AL21" s="486">
        <v>86724</v>
      </c>
      <c r="AM21" s="13" t="s">
        <v>32</v>
      </c>
      <c r="AN21" s="48">
        <f t="shared" si="0"/>
        <v>89494</v>
      </c>
      <c r="AO21" s="64" t="s">
        <v>32</v>
      </c>
      <c r="AP21" s="48">
        <f t="shared" si="7"/>
        <v>61887</v>
      </c>
      <c r="AQ21" s="48">
        <f t="shared" si="8"/>
        <v>27607</v>
      </c>
      <c r="AT21" s="198">
        <v>16200</v>
      </c>
      <c r="AU21" s="195">
        <v>500</v>
      </c>
      <c r="AV21" s="195">
        <v>500</v>
      </c>
      <c r="AW21" s="195">
        <v>500</v>
      </c>
      <c r="AX21" s="196">
        <v>500</v>
      </c>
    </row>
    <row r="22" spans="1:50" ht="16.5" thickTop="1" thickBot="1" x14ac:dyDescent="0.3">
      <c r="A22" s="23"/>
      <c r="B22" s="56" t="s">
        <v>27</v>
      </c>
      <c r="C22" s="24" t="s">
        <v>28</v>
      </c>
      <c r="D22" s="73">
        <f t="shared" si="1"/>
        <v>1.0075000000000001</v>
      </c>
      <c r="E22" s="411" t="s">
        <v>183</v>
      </c>
      <c r="F22" s="411">
        <f t="shared" si="9"/>
        <v>200</v>
      </c>
      <c r="G22" s="414" t="s">
        <v>182</v>
      </c>
      <c r="H22" s="414">
        <v>1</v>
      </c>
      <c r="I22" s="416" t="s">
        <v>181</v>
      </c>
      <c r="J22" s="368" t="s">
        <v>31</v>
      </c>
      <c r="K22" s="73">
        <f t="shared" si="2"/>
        <v>3.07</v>
      </c>
      <c r="L22" s="56" t="s">
        <v>183</v>
      </c>
      <c r="M22" s="165">
        <f t="shared" si="10"/>
        <v>200</v>
      </c>
      <c r="N22" s="69" t="s">
        <v>182</v>
      </c>
      <c r="O22" s="69">
        <v>1</v>
      </c>
      <c r="P22" s="167" t="s">
        <v>181</v>
      </c>
      <c r="Q22" s="26" t="s">
        <v>31</v>
      </c>
      <c r="R22" s="73">
        <f t="shared" si="3"/>
        <v>2.3450000000000002</v>
      </c>
      <c r="S22" s="56" t="s">
        <v>183</v>
      </c>
      <c r="T22" s="337">
        <f t="shared" si="11"/>
        <v>200</v>
      </c>
      <c r="U22" s="69" t="s">
        <v>182</v>
      </c>
      <c r="V22" s="69">
        <v>1</v>
      </c>
      <c r="W22" s="167" t="s">
        <v>181</v>
      </c>
      <c r="X22" s="26" t="s">
        <v>31</v>
      </c>
      <c r="Y22" s="73">
        <f t="shared" si="4"/>
        <v>2.8650000000000002</v>
      </c>
      <c r="Z22" s="56" t="s">
        <v>183</v>
      </c>
      <c r="AA22" s="165">
        <f t="shared" si="12"/>
        <v>200</v>
      </c>
      <c r="AB22" s="69" t="s">
        <v>182</v>
      </c>
      <c r="AC22" s="69">
        <v>1</v>
      </c>
      <c r="AD22" s="167" t="s">
        <v>181</v>
      </c>
      <c r="AE22" s="26" t="s">
        <v>32</v>
      </c>
      <c r="AF22" s="73">
        <f t="shared" si="5"/>
        <v>9.2874999999999996</v>
      </c>
      <c r="AG22" s="31" t="s">
        <v>35</v>
      </c>
      <c r="AH22" s="483">
        <v>9.8000000000000007</v>
      </c>
      <c r="AI22" s="26" t="s">
        <v>32</v>
      </c>
      <c r="AJ22" s="73">
        <f t="shared" si="6"/>
        <v>0.94769999999999999</v>
      </c>
      <c r="AK22" s="25" t="s">
        <v>36</v>
      </c>
      <c r="AL22" s="485">
        <v>355280</v>
      </c>
      <c r="AM22" s="26" t="s">
        <v>32</v>
      </c>
      <c r="AN22" s="46">
        <f t="shared" si="0"/>
        <v>336699</v>
      </c>
      <c r="AO22" s="26" t="s">
        <v>32</v>
      </c>
      <c r="AP22" s="46">
        <f t="shared" si="7"/>
        <v>232834</v>
      </c>
      <c r="AQ22" s="46">
        <f t="shared" si="8"/>
        <v>103865</v>
      </c>
      <c r="AT22" s="198">
        <v>28638</v>
      </c>
      <c r="AU22" s="195">
        <v>200</v>
      </c>
      <c r="AV22" s="195">
        <v>200</v>
      </c>
      <c r="AW22" s="195">
        <v>200</v>
      </c>
      <c r="AX22" s="196">
        <v>200</v>
      </c>
    </row>
    <row r="23" spans="1:50" ht="16.5" thickTop="1" thickBot="1" x14ac:dyDescent="0.3">
      <c r="A23" s="4"/>
      <c r="B23" s="57" t="s">
        <v>29</v>
      </c>
      <c r="C23" t="s">
        <v>30</v>
      </c>
      <c r="D23" s="117">
        <f t="shared" si="1"/>
        <v>0.66066000000000003</v>
      </c>
      <c r="E23" s="410" t="s">
        <v>183</v>
      </c>
      <c r="F23" s="410">
        <f t="shared" si="9"/>
        <v>305</v>
      </c>
      <c r="G23" s="407" t="s">
        <v>182</v>
      </c>
      <c r="H23" s="407">
        <v>1</v>
      </c>
      <c r="I23" s="114" t="s">
        <v>181</v>
      </c>
      <c r="J23" s="13" t="s">
        <v>31</v>
      </c>
      <c r="K23" s="117">
        <f t="shared" si="2"/>
        <v>2.0131100000000002</v>
      </c>
      <c r="L23" s="57" t="s">
        <v>183</v>
      </c>
      <c r="M23" s="166">
        <f t="shared" si="10"/>
        <v>305</v>
      </c>
      <c r="N23" s="161" t="s">
        <v>182</v>
      </c>
      <c r="O23" s="161">
        <v>1</v>
      </c>
      <c r="P23" s="168" t="s">
        <v>181</v>
      </c>
      <c r="Q23" s="13" t="s">
        <v>31</v>
      </c>
      <c r="R23" s="117">
        <f t="shared" si="3"/>
        <v>1.5377000000000001</v>
      </c>
      <c r="S23" s="57" t="s">
        <v>183</v>
      </c>
      <c r="T23" s="336">
        <f t="shared" si="11"/>
        <v>305</v>
      </c>
      <c r="U23" s="161" t="s">
        <v>182</v>
      </c>
      <c r="V23" s="161">
        <v>1</v>
      </c>
      <c r="W23" s="168" t="s">
        <v>181</v>
      </c>
      <c r="X23" s="13" t="s">
        <v>31</v>
      </c>
      <c r="Y23" s="117">
        <f t="shared" si="4"/>
        <v>1.8190500000000001</v>
      </c>
      <c r="Z23" s="57" t="s">
        <v>183</v>
      </c>
      <c r="AA23" s="166">
        <f t="shared" si="12"/>
        <v>315</v>
      </c>
      <c r="AB23" s="161" t="s">
        <v>182</v>
      </c>
      <c r="AC23" s="161">
        <v>1</v>
      </c>
      <c r="AD23" s="168" t="s">
        <v>181</v>
      </c>
      <c r="AE23" s="13" t="s">
        <v>32</v>
      </c>
      <c r="AF23" s="117">
        <f t="shared" si="5"/>
        <v>6.0305200000000001</v>
      </c>
      <c r="AG23" s="19" t="s">
        <v>35</v>
      </c>
      <c r="AH23" s="484">
        <v>6.9</v>
      </c>
      <c r="AI23" s="13" t="s">
        <v>32</v>
      </c>
      <c r="AJ23" s="117">
        <f t="shared" si="6"/>
        <v>0.87399000000000004</v>
      </c>
      <c r="AK23" s="1" t="s">
        <v>36</v>
      </c>
      <c r="AL23" s="486">
        <v>613281</v>
      </c>
      <c r="AM23" s="13" t="s">
        <v>32</v>
      </c>
      <c r="AN23" s="48">
        <f t="shared" si="0"/>
        <v>536001</v>
      </c>
      <c r="AO23" s="64" t="s">
        <v>32</v>
      </c>
      <c r="AP23" s="48">
        <f t="shared" si="7"/>
        <v>370656</v>
      </c>
      <c r="AQ23" s="48">
        <f t="shared" si="8"/>
        <v>165345</v>
      </c>
      <c r="AT23" s="198">
        <v>78706</v>
      </c>
      <c r="AU23" s="195">
        <v>305</v>
      </c>
      <c r="AV23" s="195">
        <v>305</v>
      </c>
      <c r="AW23" s="195">
        <v>305</v>
      </c>
      <c r="AX23" s="196">
        <v>315</v>
      </c>
    </row>
    <row r="24" spans="1:50" ht="6" customHeight="1" thickTop="1" x14ac:dyDescent="0.25">
      <c r="A24" s="4"/>
      <c r="B24" s="57"/>
      <c r="D24" s="379"/>
      <c r="E24" s="367"/>
      <c r="F24" s="367"/>
      <c r="G24" s="367"/>
      <c r="H24" s="367"/>
      <c r="I24" s="367"/>
      <c r="J24" s="13"/>
      <c r="K24" s="15"/>
      <c r="L24" s="1"/>
      <c r="M24" s="161"/>
      <c r="N24" s="161"/>
      <c r="O24" s="161"/>
      <c r="P24" s="161"/>
      <c r="Q24" s="13"/>
      <c r="R24" s="15"/>
      <c r="S24" s="1"/>
      <c r="T24" s="161"/>
      <c r="U24" s="161"/>
      <c r="V24" s="161"/>
      <c r="W24" s="161"/>
      <c r="X24" s="13"/>
      <c r="Y24" s="15"/>
      <c r="AE24" s="13"/>
      <c r="AG24" s="19"/>
      <c r="AH24" s="15"/>
      <c r="AI24" s="13"/>
      <c r="AL24" s="20"/>
      <c r="AM24" s="13"/>
      <c r="AN24" s="20"/>
      <c r="AO24" s="13"/>
      <c r="AP24" s="20"/>
      <c r="AQ24" s="20"/>
      <c r="AT24" s="194"/>
      <c r="AU24" s="195"/>
      <c r="AV24" s="195"/>
      <c r="AW24" s="195"/>
      <c r="AX24" s="196"/>
    </row>
    <row r="25" spans="1:50" s="5" customFormat="1" ht="30" x14ac:dyDescent="0.25">
      <c r="A25" s="8" t="s">
        <v>42</v>
      </c>
      <c r="B25" s="5" t="s">
        <v>51</v>
      </c>
      <c r="D25" s="378"/>
      <c r="E25" s="378"/>
      <c r="F25" s="378"/>
      <c r="G25" s="378"/>
      <c r="H25" s="378"/>
      <c r="I25" s="378"/>
      <c r="J25" s="378"/>
      <c r="M25" s="163"/>
      <c r="N25" s="163"/>
      <c r="O25" s="163"/>
      <c r="P25" s="163"/>
      <c r="R25" s="7" t="s">
        <v>46</v>
      </c>
      <c r="T25" s="163"/>
      <c r="U25" s="163"/>
      <c r="V25" s="163"/>
      <c r="W25" s="163"/>
      <c r="Y25" s="7"/>
      <c r="Z25" s="524" t="s">
        <v>40</v>
      </c>
      <c r="AA25" s="524"/>
      <c r="AB25" s="524"/>
      <c r="AC25" s="524"/>
      <c r="AD25" s="524"/>
      <c r="AE25" s="525"/>
      <c r="AF25" s="7"/>
      <c r="AG25" s="7"/>
      <c r="AH25" s="16" t="s">
        <v>41</v>
      </c>
      <c r="AI25" s="7"/>
      <c r="AJ25" s="7"/>
      <c r="AK25" s="7"/>
      <c r="AL25" s="7"/>
      <c r="AM25" s="7"/>
      <c r="AN25" s="7"/>
      <c r="AO25" s="7"/>
      <c r="AP25" s="16" t="s">
        <v>47</v>
      </c>
      <c r="AQ25" s="16" t="s">
        <v>48</v>
      </c>
      <c r="AT25" s="191"/>
      <c r="AU25" s="192"/>
      <c r="AV25" s="192"/>
      <c r="AW25" s="192"/>
      <c r="AX25" s="193"/>
    </row>
    <row r="26" spans="1:50" x14ac:dyDescent="0.25">
      <c r="A26" s="23"/>
      <c r="B26" s="56" t="s">
        <v>6</v>
      </c>
      <c r="C26" s="24" t="s">
        <v>43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33">
        <v>0.19</v>
      </c>
      <c r="S26" s="24"/>
      <c r="T26" s="24"/>
      <c r="U26" s="24"/>
      <c r="V26" s="24"/>
      <c r="W26" s="24"/>
      <c r="X26" s="25" t="s">
        <v>36</v>
      </c>
      <c r="Y26" s="25"/>
      <c r="Z26" s="522">
        <f>AP16+AP17+AP18+AP19</f>
        <v>4924582</v>
      </c>
      <c r="AA26" s="523"/>
      <c r="AB26" s="523"/>
      <c r="AC26" s="523"/>
      <c r="AD26" s="523"/>
      <c r="AE26" s="523"/>
      <c r="AF26" s="25"/>
      <c r="AG26" s="54" t="s">
        <v>32</v>
      </c>
      <c r="AH26" s="46">
        <f>AQ16+AQ17+AQ18+AQ19</f>
        <v>2196796</v>
      </c>
      <c r="AI26" s="26"/>
      <c r="AJ26" s="25"/>
      <c r="AK26" s="54" t="s">
        <v>32</v>
      </c>
      <c r="AL26" s="25"/>
      <c r="AM26" s="25"/>
      <c r="AN26" s="25"/>
      <c r="AO26" s="25"/>
      <c r="AP26" s="46">
        <f>ROUND(Z26*R26,0)</f>
        <v>935671</v>
      </c>
      <c r="AQ26" s="46">
        <f>ROUND(AH26*R26,0)</f>
        <v>417391</v>
      </c>
      <c r="AT26" s="194"/>
      <c r="AU26" s="195"/>
      <c r="AV26" s="195"/>
      <c r="AW26" s="195"/>
      <c r="AX26" s="196"/>
    </row>
    <row r="27" spans="1:50" x14ac:dyDescent="0.25">
      <c r="A27" s="4"/>
      <c r="B27" s="57" t="s">
        <v>8</v>
      </c>
      <c r="C27" t="s">
        <v>44</v>
      </c>
      <c r="R27" s="21">
        <v>0.36</v>
      </c>
      <c r="X27" s="1" t="s">
        <v>36</v>
      </c>
      <c r="Z27" s="542">
        <f>AP20+AP21</f>
        <v>208708</v>
      </c>
      <c r="AA27" s="523"/>
      <c r="AB27" s="523"/>
      <c r="AC27" s="523"/>
      <c r="AD27" s="523"/>
      <c r="AE27" s="523"/>
      <c r="AG27" s="13" t="s">
        <v>32</v>
      </c>
      <c r="AH27" s="47">
        <f>AQ20+AQ21</f>
        <v>93102</v>
      </c>
      <c r="AI27" s="13"/>
      <c r="AK27" s="13" t="s">
        <v>32</v>
      </c>
      <c r="AP27" s="48">
        <f>ROUND(Z27*R27,0)</f>
        <v>75135</v>
      </c>
      <c r="AQ27" s="48">
        <f>ROUND(AH27*R27,0)</f>
        <v>33517</v>
      </c>
      <c r="AT27" s="194"/>
      <c r="AU27" s="195"/>
      <c r="AV27" s="195"/>
      <c r="AW27" s="195"/>
      <c r="AX27" s="196"/>
    </row>
    <row r="28" spans="1:50" x14ac:dyDescent="0.25">
      <c r="A28" s="23"/>
      <c r="B28" s="56" t="s">
        <v>9</v>
      </c>
      <c r="C28" s="24" t="s">
        <v>28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33">
        <v>0.28999999999999998</v>
      </c>
      <c r="S28" s="24"/>
      <c r="T28" s="24"/>
      <c r="U28" s="24"/>
      <c r="V28" s="24"/>
      <c r="W28" s="24"/>
      <c r="X28" s="25" t="s">
        <v>36</v>
      </c>
      <c r="Y28" s="25"/>
      <c r="Z28" s="522">
        <f>AP22</f>
        <v>232834</v>
      </c>
      <c r="AA28" s="523"/>
      <c r="AB28" s="523"/>
      <c r="AC28" s="523"/>
      <c r="AD28" s="523"/>
      <c r="AE28" s="523"/>
      <c r="AF28" s="25"/>
      <c r="AG28" s="54" t="s">
        <v>32</v>
      </c>
      <c r="AH28" s="46">
        <f>AQ22</f>
        <v>103865</v>
      </c>
      <c r="AI28" s="26"/>
      <c r="AJ28" s="25"/>
      <c r="AK28" s="54" t="s">
        <v>32</v>
      </c>
      <c r="AL28" s="25"/>
      <c r="AM28" s="25"/>
      <c r="AN28" s="25"/>
      <c r="AO28" s="25"/>
      <c r="AP28" s="46">
        <f>ROUND(Z28*R28,0)</f>
        <v>67522</v>
      </c>
      <c r="AQ28" s="46">
        <f>ROUND(AH28*R28,0)</f>
        <v>30121</v>
      </c>
      <c r="AT28" s="194"/>
      <c r="AU28" s="195"/>
      <c r="AV28" s="195"/>
      <c r="AW28" s="195"/>
      <c r="AX28" s="196"/>
    </row>
    <row r="29" spans="1:50" x14ac:dyDescent="0.25">
      <c r="A29" s="4"/>
      <c r="B29" s="57" t="s">
        <v>21</v>
      </c>
      <c r="C29" t="s">
        <v>45</v>
      </c>
      <c r="R29" s="21">
        <v>0.14000000000000001</v>
      </c>
      <c r="X29" s="1" t="s">
        <v>36</v>
      </c>
      <c r="Z29" s="542">
        <f>AP23</f>
        <v>370656</v>
      </c>
      <c r="AA29" s="523"/>
      <c r="AB29" s="523"/>
      <c r="AC29" s="523"/>
      <c r="AD29" s="523"/>
      <c r="AE29" s="523"/>
      <c r="AG29" s="13" t="s">
        <v>32</v>
      </c>
      <c r="AH29" s="47">
        <f>AQ23</f>
        <v>165345</v>
      </c>
      <c r="AI29" s="13"/>
      <c r="AK29" s="13" t="s">
        <v>32</v>
      </c>
      <c r="AP29" s="48">
        <f>ROUND(Z29*R29,0)</f>
        <v>51892</v>
      </c>
      <c r="AQ29" s="48">
        <f>ROUND(AH29*R29,0)</f>
        <v>23148</v>
      </c>
      <c r="AT29" s="194"/>
      <c r="AU29" s="195"/>
      <c r="AV29" s="195"/>
      <c r="AW29" s="195"/>
      <c r="AX29" s="196"/>
    </row>
    <row r="30" spans="1:50" ht="6" customHeight="1" x14ac:dyDescent="0.25">
      <c r="AT30" s="194"/>
      <c r="AU30" s="195"/>
      <c r="AV30" s="195"/>
      <c r="AW30" s="195"/>
      <c r="AX30" s="196"/>
    </row>
    <row r="31" spans="1:50" s="5" customFormat="1" ht="30" customHeight="1" x14ac:dyDescent="0.25">
      <c r="A31" s="8" t="s">
        <v>49</v>
      </c>
      <c r="B31" s="5" t="s">
        <v>50</v>
      </c>
      <c r="D31" s="378"/>
      <c r="E31" s="378"/>
      <c r="F31" s="540"/>
      <c r="G31" s="525"/>
      <c r="H31" s="525"/>
      <c r="I31" s="366"/>
      <c r="J31" s="378"/>
      <c r="M31" s="540" t="s">
        <v>70</v>
      </c>
      <c r="N31" s="525"/>
      <c r="O31" s="525"/>
      <c r="P31" s="162"/>
      <c r="R31" s="22" t="s">
        <v>11</v>
      </c>
      <c r="T31" s="163"/>
      <c r="U31" s="163"/>
      <c r="V31" s="163"/>
      <c r="W31" s="163"/>
      <c r="Y31" s="7"/>
      <c r="Z31" s="524" t="s">
        <v>66</v>
      </c>
      <c r="AA31" s="524"/>
      <c r="AB31" s="524"/>
      <c r="AC31" s="524"/>
      <c r="AD31" s="524"/>
      <c r="AE31" s="524"/>
      <c r="AF31" s="7"/>
      <c r="AG31" s="7"/>
      <c r="AH31" s="16" t="s">
        <v>67</v>
      </c>
      <c r="AI31" s="7"/>
      <c r="AJ31" s="7"/>
      <c r="AK31" s="7"/>
      <c r="AL31" s="7"/>
      <c r="AM31" s="7"/>
      <c r="AN31" s="7"/>
      <c r="AO31" s="7"/>
      <c r="AP31" s="16" t="s">
        <v>58</v>
      </c>
      <c r="AQ31" s="16" t="s">
        <v>59</v>
      </c>
      <c r="AT31" s="191"/>
      <c r="AU31" s="192"/>
      <c r="AV31" s="192"/>
      <c r="AW31" s="192"/>
      <c r="AX31" s="193"/>
    </row>
    <row r="32" spans="1:50" x14ac:dyDescent="0.25">
      <c r="A32" s="23"/>
      <c r="B32" s="56" t="s">
        <v>6</v>
      </c>
      <c r="C32" s="24" t="s">
        <v>52</v>
      </c>
      <c r="D32" s="24"/>
      <c r="E32" s="24"/>
      <c r="F32" s="24"/>
      <c r="G32" s="24"/>
      <c r="H32" s="257"/>
      <c r="I32" s="32"/>
      <c r="J32" s="32"/>
      <c r="K32" s="24"/>
      <c r="L32" s="24"/>
      <c r="M32" s="24"/>
      <c r="N32" s="24"/>
      <c r="O32" s="257">
        <v>45</v>
      </c>
      <c r="P32" s="32"/>
      <c r="Q32" s="32"/>
      <c r="R32" s="177">
        <v>45</v>
      </c>
      <c r="S32" s="25"/>
      <c r="T32" s="69"/>
      <c r="U32" s="69"/>
      <c r="V32" s="69"/>
      <c r="W32" s="69"/>
      <c r="X32" s="25" t="s">
        <v>36</v>
      </c>
      <c r="Y32" s="25"/>
      <c r="Z32" s="527">
        <f t="shared" ref="Z32:Z38" si="13">$AE$13</f>
        <v>1284.5</v>
      </c>
      <c r="AA32" s="525"/>
      <c r="AB32" s="525"/>
      <c r="AC32" s="525"/>
      <c r="AD32" s="525"/>
      <c r="AE32" s="525"/>
      <c r="AF32" s="25"/>
      <c r="AG32" s="54"/>
      <c r="AH32" s="71">
        <f t="shared" ref="AH32:AH38" si="14">$AH$13</f>
        <v>573</v>
      </c>
      <c r="AI32" s="26"/>
      <c r="AJ32" s="25"/>
      <c r="AK32" s="54" t="s">
        <v>32</v>
      </c>
      <c r="AL32" s="25"/>
      <c r="AM32" s="25"/>
      <c r="AN32" s="25"/>
      <c r="AO32" s="25"/>
      <c r="AP32" s="46">
        <f t="shared" ref="AP32:AP38" si="15">ROUND(Z32*O32,0)</f>
        <v>57803</v>
      </c>
      <c r="AQ32" s="46">
        <f t="shared" ref="AQ32:AQ38" si="16">ROUND(AH32*R32,0)</f>
        <v>25785</v>
      </c>
      <c r="AT32" s="194"/>
      <c r="AU32" s="195"/>
      <c r="AV32" s="195"/>
      <c r="AW32" s="195"/>
      <c r="AX32" s="196"/>
    </row>
    <row r="33" spans="1:50" x14ac:dyDescent="0.25">
      <c r="A33" s="4"/>
      <c r="B33" s="57" t="s">
        <v>8</v>
      </c>
      <c r="C33" t="s">
        <v>53</v>
      </c>
      <c r="H33" s="258"/>
      <c r="I33" s="169"/>
      <c r="J33" s="169"/>
      <c r="O33" s="258">
        <v>392</v>
      </c>
      <c r="P33" s="169"/>
      <c r="Q33" s="20"/>
      <c r="R33" s="178">
        <v>542</v>
      </c>
      <c r="S33" s="1"/>
      <c r="T33" s="161"/>
      <c r="U33" s="161"/>
      <c r="V33" s="161"/>
      <c r="W33" s="161"/>
      <c r="X33" s="1" t="s">
        <v>36</v>
      </c>
      <c r="Z33" s="557">
        <f t="shared" si="13"/>
        <v>1284.5</v>
      </c>
      <c r="AA33" s="525"/>
      <c r="AB33" s="525"/>
      <c r="AC33" s="525"/>
      <c r="AD33" s="525"/>
      <c r="AE33" s="525"/>
      <c r="AG33" s="13"/>
      <c r="AH33" s="103">
        <f t="shared" si="14"/>
        <v>573</v>
      </c>
      <c r="AI33" s="13"/>
      <c r="AK33" s="13" t="s">
        <v>32</v>
      </c>
      <c r="AP33" s="48">
        <f t="shared" si="15"/>
        <v>503524</v>
      </c>
      <c r="AQ33" s="48">
        <f t="shared" si="16"/>
        <v>310566</v>
      </c>
      <c r="AT33" s="194"/>
      <c r="AU33" s="195"/>
      <c r="AV33" s="195"/>
      <c r="AW33" s="195"/>
      <c r="AX33" s="196"/>
    </row>
    <row r="34" spans="1:50" x14ac:dyDescent="0.25">
      <c r="A34" s="23"/>
      <c r="B34" s="56" t="s">
        <v>9</v>
      </c>
      <c r="C34" s="24" t="s">
        <v>54</v>
      </c>
      <c r="D34" s="24"/>
      <c r="E34" s="24"/>
      <c r="F34" s="24"/>
      <c r="G34" s="24"/>
      <c r="H34" s="257"/>
      <c r="I34" s="32"/>
      <c r="J34" s="32"/>
      <c r="K34" s="24"/>
      <c r="L34" s="24"/>
      <c r="M34" s="24"/>
      <c r="N34" s="24"/>
      <c r="O34" s="257">
        <v>67</v>
      </c>
      <c r="P34" s="32"/>
      <c r="Q34" s="32"/>
      <c r="R34" s="177">
        <v>67</v>
      </c>
      <c r="S34" s="25"/>
      <c r="T34" s="69"/>
      <c r="U34" s="69"/>
      <c r="V34" s="69"/>
      <c r="W34" s="69"/>
      <c r="X34" s="25" t="s">
        <v>36</v>
      </c>
      <c r="Y34" s="25"/>
      <c r="Z34" s="527">
        <f t="shared" si="13"/>
        <v>1284.5</v>
      </c>
      <c r="AA34" s="525"/>
      <c r="AB34" s="525"/>
      <c r="AC34" s="525"/>
      <c r="AD34" s="525"/>
      <c r="AE34" s="525"/>
      <c r="AF34" s="25"/>
      <c r="AG34" s="54"/>
      <c r="AH34" s="71">
        <f t="shared" si="14"/>
        <v>573</v>
      </c>
      <c r="AI34" s="26"/>
      <c r="AJ34" s="25"/>
      <c r="AK34" s="54" t="s">
        <v>32</v>
      </c>
      <c r="AL34" s="25"/>
      <c r="AM34" s="25"/>
      <c r="AN34" s="25"/>
      <c r="AO34" s="25"/>
      <c r="AP34" s="46">
        <f t="shared" si="15"/>
        <v>86062</v>
      </c>
      <c r="AQ34" s="46">
        <f t="shared" si="16"/>
        <v>38391</v>
      </c>
      <c r="AT34" s="194"/>
      <c r="AU34" s="195"/>
      <c r="AV34" s="195"/>
      <c r="AW34" s="195"/>
      <c r="AX34" s="196"/>
    </row>
    <row r="35" spans="1:50" x14ac:dyDescent="0.25">
      <c r="A35" s="4"/>
      <c r="B35" s="57" t="s">
        <v>21</v>
      </c>
      <c r="C35" t="s">
        <v>55</v>
      </c>
      <c r="H35" s="258"/>
      <c r="I35" s="169"/>
      <c r="J35" s="169"/>
      <c r="O35" s="258">
        <v>31</v>
      </c>
      <c r="P35" s="169"/>
      <c r="Q35" s="20"/>
      <c r="R35" s="178">
        <v>31</v>
      </c>
      <c r="S35" s="1"/>
      <c r="T35" s="161"/>
      <c r="U35" s="161"/>
      <c r="V35" s="161"/>
      <c r="W35" s="161"/>
      <c r="X35" s="1" t="s">
        <v>36</v>
      </c>
      <c r="Z35" s="557">
        <f t="shared" si="13"/>
        <v>1284.5</v>
      </c>
      <c r="AA35" s="525"/>
      <c r="AB35" s="525"/>
      <c r="AC35" s="525"/>
      <c r="AD35" s="525"/>
      <c r="AE35" s="525"/>
      <c r="AG35" s="13"/>
      <c r="AH35" s="103">
        <f t="shared" si="14"/>
        <v>573</v>
      </c>
      <c r="AI35" s="13"/>
      <c r="AK35" s="13" t="s">
        <v>32</v>
      </c>
      <c r="AP35" s="48">
        <f t="shared" si="15"/>
        <v>39820</v>
      </c>
      <c r="AQ35" s="48">
        <f t="shared" si="16"/>
        <v>17763</v>
      </c>
      <c r="AT35" s="194"/>
      <c r="AU35" s="195"/>
      <c r="AV35" s="195"/>
      <c r="AW35" s="195"/>
      <c r="AX35" s="196"/>
    </row>
    <row r="36" spans="1:50" x14ac:dyDescent="0.25">
      <c r="A36" s="23"/>
      <c r="B36" s="56" t="s">
        <v>23</v>
      </c>
      <c r="C36" s="24" t="s">
        <v>56</v>
      </c>
      <c r="D36" s="24"/>
      <c r="E36" s="24"/>
      <c r="F36" s="24"/>
      <c r="G36" s="24"/>
      <c r="H36" s="257"/>
      <c r="I36" s="32"/>
      <c r="J36" s="32"/>
      <c r="K36" s="24"/>
      <c r="L36" s="24"/>
      <c r="M36" s="24"/>
      <c r="N36" s="24"/>
      <c r="O36" s="257">
        <v>42</v>
      </c>
      <c r="P36" s="32"/>
      <c r="Q36" s="32"/>
      <c r="R36" s="177">
        <v>130</v>
      </c>
      <c r="S36" s="25"/>
      <c r="T36" s="69"/>
      <c r="U36" s="69"/>
      <c r="V36" s="69"/>
      <c r="W36" s="69"/>
      <c r="X36" s="25" t="s">
        <v>36</v>
      </c>
      <c r="Y36" s="25"/>
      <c r="Z36" s="527">
        <f t="shared" si="13"/>
        <v>1284.5</v>
      </c>
      <c r="AA36" s="525"/>
      <c r="AB36" s="525"/>
      <c r="AC36" s="525"/>
      <c r="AD36" s="525"/>
      <c r="AE36" s="525"/>
      <c r="AF36" s="25"/>
      <c r="AG36" s="54"/>
      <c r="AH36" s="71">
        <f t="shared" si="14"/>
        <v>573</v>
      </c>
      <c r="AI36" s="26"/>
      <c r="AJ36" s="25"/>
      <c r="AK36" s="54" t="s">
        <v>32</v>
      </c>
      <c r="AL36" s="25"/>
      <c r="AM36" s="25"/>
      <c r="AN36" s="25"/>
      <c r="AO36" s="25"/>
      <c r="AP36" s="46">
        <f t="shared" si="15"/>
        <v>53949</v>
      </c>
      <c r="AQ36" s="46">
        <f t="shared" si="16"/>
        <v>74490</v>
      </c>
      <c r="AT36" s="194"/>
      <c r="AU36" s="195"/>
      <c r="AV36" s="195"/>
      <c r="AW36" s="195"/>
      <c r="AX36" s="196"/>
    </row>
    <row r="37" spans="1:50" s="34" customFormat="1" x14ac:dyDescent="0.25">
      <c r="A37" s="374"/>
      <c r="B37" s="374" t="s">
        <v>25</v>
      </c>
      <c r="C37" s="34" t="s">
        <v>281</v>
      </c>
      <c r="H37" s="360"/>
      <c r="I37" s="113"/>
      <c r="J37" s="113"/>
      <c r="O37" s="360">
        <v>135</v>
      </c>
      <c r="P37" s="113"/>
      <c r="Q37" s="113"/>
      <c r="R37" s="361">
        <v>135</v>
      </c>
      <c r="S37" s="371"/>
      <c r="T37" s="371"/>
      <c r="U37" s="371"/>
      <c r="V37" s="371"/>
      <c r="W37" s="371"/>
      <c r="X37" s="371" t="s">
        <v>36</v>
      </c>
      <c r="Y37" s="371"/>
      <c r="Z37" s="557">
        <f t="shared" si="13"/>
        <v>1284.5</v>
      </c>
      <c r="AA37" s="560"/>
      <c r="AB37" s="560"/>
      <c r="AC37" s="560"/>
      <c r="AD37" s="560"/>
      <c r="AE37" s="560"/>
      <c r="AF37" s="371"/>
      <c r="AG37" s="64"/>
      <c r="AH37" s="370">
        <f t="shared" si="14"/>
        <v>573</v>
      </c>
      <c r="AI37" s="64"/>
      <c r="AJ37" s="371"/>
      <c r="AK37" s="64" t="s">
        <v>32</v>
      </c>
      <c r="AL37" s="371"/>
      <c r="AM37" s="371"/>
      <c r="AN37" s="371"/>
      <c r="AO37" s="371"/>
      <c r="AP37" s="48">
        <f>ROUND(Z37*O37,0)</f>
        <v>173408</v>
      </c>
      <c r="AQ37" s="48">
        <f>ROUND(AH37*R37,0)</f>
        <v>77355</v>
      </c>
      <c r="AT37" s="362"/>
      <c r="AU37" s="363"/>
      <c r="AV37" s="363"/>
      <c r="AW37" s="363"/>
      <c r="AX37" s="364"/>
    </row>
    <row r="38" spans="1:50" s="34" customFormat="1" x14ac:dyDescent="0.25">
      <c r="A38" s="461"/>
      <c r="B38" s="461" t="s">
        <v>27</v>
      </c>
      <c r="C38" s="462" t="s">
        <v>57</v>
      </c>
      <c r="D38" s="462"/>
      <c r="E38" s="462"/>
      <c r="F38" s="462"/>
      <c r="G38" s="462"/>
      <c r="H38" s="463"/>
      <c r="I38" s="464"/>
      <c r="J38" s="464"/>
      <c r="K38" s="462"/>
      <c r="L38" s="462"/>
      <c r="M38" s="462"/>
      <c r="N38" s="462"/>
      <c r="O38" s="463">
        <v>1147</v>
      </c>
      <c r="P38" s="464"/>
      <c r="Q38" s="464"/>
      <c r="R38" s="465">
        <v>1362</v>
      </c>
      <c r="S38" s="466"/>
      <c r="T38" s="466"/>
      <c r="U38" s="466"/>
      <c r="V38" s="466"/>
      <c r="W38" s="466"/>
      <c r="X38" s="466" t="s">
        <v>36</v>
      </c>
      <c r="Y38" s="466"/>
      <c r="Z38" s="558">
        <f t="shared" si="13"/>
        <v>1284.5</v>
      </c>
      <c r="AA38" s="559"/>
      <c r="AB38" s="559"/>
      <c r="AC38" s="559"/>
      <c r="AD38" s="559"/>
      <c r="AE38" s="559"/>
      <c r="AF38" s="466"/>
      <c r="AG38" s="467"/>
      <c r="AH38" s="468">
        <f t="shared" si="14"/>
        <v>573</v>
      </c>
      <c r="AI38" s="467"/>
      <c r="AJ38" s="466"/>
      <c r="AK38" s="467" t="s">
        <v>32</v>
      </c>
      <c r="AL38" s="466"/>
      <c r="AM38" s="466"/>
      <c r="AN38" s="466"/>
      <c r="AO38" s="466"/>
      <c r="AP38" s="469">
        <f t="shared" si="15"/>
        <v>1473322</v>
      </c>
      <c r="AQ38" s="469">
        <f t="shared" si="16"/>
        <v>780426</v>
      </c>
      <c r="AT38" s="362"/>
      <c r="AU38" s="363"/>
      <c r="AV38" s="363"/>
      <c r="AW38" s="363"/>
      <c r="AX38" s="364"/>
    </row>
    <row r="39" spans="1:50" ht="6" customHeight="1" x14ac:dyDescent="0.25">
      <c r="E39" s="367"/>
      <c r="F39" s="367"/>
      <c r="G39" s="367"/>
      <c r="H39" s="367"/>
      <c r="I39" s="367"/>
      <c r="J39" s="367"/>
      <c r="L39" s="1"/>
      <c r="M39" s="161"/>
      <c r="N39" s="161"/>
      <c r="O39" s="161"/>
      <c r="P39" s="161"/>
      <c r="Q39" s="1"/>
      <c r="S39" s="1"/>
      <c r="T39" s="161"/>
      <c r="U39" s="161"/>
      <c r="V39" s="161"/>
      <c r="W39" s="161"/>
      <c r="X39" s="1"/>
      <c r="AE39" s="13"/>
      <c r="AI39" s="13"/>
      <c r="AP39" s="4"/>
      <c r="AQ39" s="4"/>
      <c r="AT39" s="194"/>
      <c r="AU39" s="195"/>
      <c r="AV39" s="195"/>
      <c r="AW39" s="195"/>
      <c r="AX39" s="196"/>
    </row>
    <row r="40" spans="1:50" s="5" customFormat="1" ht="15.75" thickBot="1" x14ac:dyDescent="0.3">
      <c r="A40" s="8" t="s">
        <v>60</v>
      </c>
      <c r="B40" s="5" t="s">
        <v>61</v>
      </c>
      <c r="D40" s="378"/>
      <c r="E40" s="378"/>
      <c r="F40" s="378"/>
      <c r="G40" s="378"/>
      <c r="H40" s="378"/>
      <c r="I40" s="378"/>
      <c r="J40" s="378"/>
      <c r="M40" s="163"/>
      <c r="N40" s="163"/>
      <c r="O40" s="163"/>
      <c r="P40" s="163"/>
      <c r="T40" s="163"/>
      <c r="U40" s="163"/>
      <c r="V40" s="163"/>
      <c r="W40" s="163"/>
      <c r="AA40" s="163"/>
      <c r="AB40" s="163"/>
      <c r="AC40" s="163"/>
      <c r="AD40" s="163"/>
      <c r="AP40" s="8"/>
      <c r="AQ40" s="8"/>
      <c r="AT40" s="210" t="s">
        <v>186</v>
      </c>
      <c r="AU40" s="207"/>
      <c r="AV40" s="207"/>
      <c r="AW40" s="207"/>
      <c r="AX40" s="208"/>
    </row>
    <row r="41" spans="1:50" s="5" customFormat="1" ht="16.5" thickTop="1" thickBot="1" x14ac:dyDescent="0.3">
      <c r="A41" s="38"/>
      <c r="B41" s="38" t="s">
        <v>6</v>
      </c>
      <c r="C41" s="24" t="s">
        <v>69</v>
      </c>
      <c r="D41" s="40"/>
      <c r="E41" s="41"/>
      <c r="F41" s="41"/>
      <c r="G41" s="41"/>
      <c r="H41" s="41"/>
      <c r="I41" s="41"/>
      <c r="J41" s="41"/>
      <c r="K41" s="40"/>
      <c r="L41" s="41"/>
      <c r="M41" s="41"/>
      <c r="N41" s="41"/>
      <c r="O41" s="41"/>
      <c r="P41" s="41"/>
      <c r="Q41" s="41"/>
      <c r="R41" s="42"/>
      <c r="S41" s="42"/>
      <c r="T41" s="42"/>
      <c r="U41" s="42"/>
      <c r="V41" s="42"/>
      <c r="W41" s="42"/>
      <c r="X41" s="39"/>
      <c r="Y41" s="23" t="s">
        <v>65</v>
      </c>
      <c r="Z41" s="555">
        <v>1.02</v>
      </c>
      <c r="AA41" s="556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9">
        <f>AU41-AT41</f>
        <v>115891.66000000015</v>
      </c>
      <c r="AQ41" s="49">
        <f>AW41-AV41</f>
        <v>51697.85999999987</v>
      </c>
      <c r="AT41" s="199">
        <f>SUM(AP16:AP23)+AP32</f>
        <v>5794583</v>
      </c>
      <c r="AU41" s="200">
        <f>ROUND(AT41*Z41,3)</f>
        <v>5910474.6600000001</v>
      </c>
      <c r="AV41" s="200">
        <f>SUM(AQ16:AQ23)+AQ32</f>
        <v>2584893</v>
      </c>
      <c r="AW41" s="200">
        <f>AV41*Z41</f>
        <v>2636590.86</v>
      </c>
      <c r="AX41" s="201"/>
    </row>
    <row r="42" spans="1:50" ht="6" customHeight="1" thickTop="1" x14ac:dyDescent="0.25">
      <c r="E42" s="367"/>
      <c r="F42" s="367"/>
      <c r="G42" s="367"/>
      <c r="H42" s="367"/>
      <c r="I42" s="367"/>
      <c r="J42" s="367"/>
      <c r="L42" s="1"/>
      <c r="M42" s="161"/>
      <c r="N42" s="161"/>
      <c r="O42" s="161"/>
      <c r="P42" s="161"/>
      <c r="Q42" s="1"/>
      <c r="S42" s="1"/>
      <c r="T42" s="161"/>
      <c r="U42" s="161"/>
      <c r="V42" s="161"/>
      <c r="W42" s="161"/>
      <c r="AP42" s="4"/>
      <c r="AQ42" s="4"/>
      <c r="AT42" s="194"/>
      <c r="AU42" s="195"/>
      <c r="AV42" s="195"/>
      <c r="AW42" s="195"/>
      <c r="AX42" s="196"/>
    </row>
    <row r="43" spans="1:50" x14ac:dyDescent="0.25">
      <c r="A43" s="41" t="s">
        <v>14</v>
      </c>
      <c r="B43" s="40" t="s">
        <v>96</v>
      </c>
      <c r="C43" s="40"/>
      <c r="D43" s="24"/>
      <c r="E43" s="377"/>
      <c r="F43" s="377"/>
      <c r="G43" s="377"/>
      <c r="H43" s="377"/>
      <c r="I43" s="377"/>
      <c r="J43" s="377"/>
      <c r="K43" s="24"/>
      <c r="L43" s="25"/>
      <c r="M43" s="69"/>
      <c r="N43" s="69"/>
      <c r="O43" s="69"/>
      <c r="P43" s="69"/>
      <c r="Q43" s="25"/>
      <c r="R43" s="25"/>
      <c r="S43" s="25"/>
      <c r="T43" s="69"/>
      <c r="U43" s="69"/>
      <c r="V43" s="69"/>
      <c r="W43" s="69"/>
      <c r="X43" s="24"/>
      <c r="Y43" s="25"/>
      <c r="Z43" s="25"/>
      <c r="AA43" s="69"/>
      <c r="AB43" s="69"/>
      <c r="AC43" s="69"/>
      <c r="AD43" s="69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49">
        <f>AP16+AP17+AP18+AP19+AP20+AP21+AP22+AP23+AP26+AP27+AP29+AP28+AP32+AP33+AP34+AP35+AP36+AP38+AP37+AP41</f>
        <v>9370779.6600000001</v>
      </c>
      <c r="AQ43" s="49">
        <f>AQ16+AQ17+AQ18+AQ19+AQ20+AQ21+AQ22+AQ23+AQ26+AQ27+AQ29+AQ28+AQ32+AQ33+AQ34+AQ35+AQ36+AQ38+AQ37+AQ41</f>
        <v>4439758.8599999994</v>
      </c>
      <c r="AT43" s="194"/>
      <c r="AU43" s="195"/>
      <c r="AV43" s="195"/>
      <c r="AW43" s="195"/>
      <c r="AX43" s="196"/>
    </row>
    <row r="44" spans="1:50" s="34" customFormat="1" x14ac:dyDescent="0.25">
      <c r="B44" s="35" t="s">
        <v>68</v>
      </c>
      <c r="C44" s="35"/>
      <c r="E44" s="371"/>
      <c r="F44" s="371"/>
      <c r="G44" s="371"/>
      <c r="H44" s="371"/>
      <c r="I44" s="371"/>
      <c r="J44" s="371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19" t="s">
        <v>35</v>
      </c>
      <c r="AP44" s="50">
        <f>AE13</f>
        <v>1284.5</v>
      </c>
      <c r="AQ44" s="50">
        <f>AH13</f>
        <v>573</v>
      </c>
      <c r="AT44" s="209" t="s">
        <v>187</v>
      </c>
      <c r="AU44" s="205"/>
      <c r="AV44" s="205"/>
      <c r="AW44" s="205"/>
      <c r="AX44" s="206"/>
    </row>
    <row r="45" spans="1:50" x14ac:dyDescent="0.25">
      <c r="A45" s="17"/>
      <c r="B45" s="12" t="s">
        <v>62</v>
      </c>
      <c r="C45" s="1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43"/>
      <c r="S45" s="17"/>
      <c r="T45" s="17"/>
      <c r="U45" s="17"/>
      <c r="V45" s="17"/>
      <c r="W45" s="17"/>
      <c r="X45" s="17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18" t="s">
        <v>32</v>
      </c>
      <c r="AP45" s="188">
        <f>IF(AE13=0,AT45,ROUND(AP43/AP44,0))</f>
        <v>7295</v>
      </c>
      <c r="AQ45" s="188">
        <f>IF(AH13=0,AU45,ROUND(AQ43/AQ44,0))</f>
        <v>7748</v>
      </c>
      <c r="AT45" s="202">
        <v>0</v>
      </c>
      <c r="AU45" s="203">
        <v>0</v>
      </c>
      <c r="AV45" s="203"/>
      <c r="AW45" s="203"/>
      <c r="AX45" s="204"/>
    </row>
    <row r="48" spans="1:50" x14ac:dyDescent="0.25">
      <c r="AP48" s="169"/>
      <c r="AQ48" s="169"/>
    </row>
  </sheetData>
  <mergeCells count="40">
    <mergeCell ref="Z41:AA41"/>
    <mergeCell ref="Z33:AE33"/>
    <mergeCell ref="Z34:AE34"/>
    <mergeCell ref="Z35:AE35"/>
    <mergeCell ref="Z36:AE36"/>
    <mergeCell ref="Z31:AE31"/>
    <mergeCell ref="Z38:AE38"/>
    <mergeCell ref="Z37:AE37"/>
    <mergeCell ref="A1:AP1"/>
    <mergeCell ref="A2:AP2"/>
    <mergeCell ref="A3:AP3"/>
    <mergeCell ref="A5:AQ5"/>
    <mergeCell ref="O7:AF7"/>
    <mergeCell ref="S12:V12"/>
    <mergeCell ref="S11:V11"/>
    <mergeCell ref="N11:P11"/>
    <mergeCell ref="N12:P12"/>
    <mergeCell ref="S10:V10"/>
    <mergeCell ref="E15:I15"/>
    <mergeCell ref="F31:H31"/>
    <mergeCell ref="Y10:Z10"/>
    <mergeCell ref="Z28:AE28"/>
    <mergeCell ref="Z29:AE29"/>
    <mergeCell ref="S13:V13"/>
    <mergeCell ref="Z27:AE27"/>
    <mergeCell ref="M31:O31"/>
    <mergeCell ref="Y11:Z11"/>
    <mergeCell ref="Y12:Z12"/>
    <mergeCell ref="AE13:AF13"/>
    <mergeCell ref="AE14:AF14"/>
    <mergeCell ref="N13:P13"/>
    <mergeCell ref="AE11:AF11"/>
    <mergeCell ref="AE12:AF12"/>
    <mergeCell ref="Y13:Z13"/>
    <mergeCell ref="Z26:AE26"/>
    <mergeCell ref="Z25:AE25"/>
    <mergeCell ref="L15:P15"/>
    <mergeCell ref="Z15:AD15"/>
    <mergeCell ref="Z32:AE32"/>
    <mergeCell ref="S15:W15"/>
  </mergeCells>
  <pageMargins left="0.2" right="0.2" top="0.5" bottom="0.5" header="0.3" footer="0.3"/>
  <pageSetup scale="66" fitToHeight="0" orientation="landscape" r:id="rId1"/>
  <ignoredErrors>
    <ignoredError sqref="AJ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opLeftCell="A25" zoomScaleNormal="100" workbookViewId="0">
      <selection activeCell="W37" sqref="W37"/>
    </sheetView>
  </sheetViews>
  <sheetFormatPr defaultRowHeight="15" x14ac:dyDescent="0.25"/>
  <cols>
    <col min="1" max="1" width="9.85546875" customWidth="1"/>
    <col min="2" max="2" width="3.140625" customWidth="1"/>
    <col min="3" max="3" width="17.7109375" customWidth="1"/>
    <col min="4" max="5" width="10.85546875" customWidth="1"/>
    <col min="6" max="6" width="10.5703125" bestFit="1" customWidth="1"/>
    <col min="7" max="7" width="3" customWidth="1"/>
    <col min="8" max="8" width="9.7109375" style="11" customWidth="1"/>
    <col min="9" max="9" width="3.85546875" style="52" customWidth="1"/>
    <col min="10" max="10" width="2.140625" customWidth="1"/>
    <col min="11" max="11" width="11.28515625" style="11" customWidth="1"/>
    <col min="12" max="12" width="5.5703125" style="11" customWidth="1"/>
    <col min="13" max="13" width="2.140625" style="11" customWidth="1"/>
    <col min="14" max="14" width="13.28515625" style="11" customWidth="1"/>
    <col min="15" max="15" width="4.28515625" style="52" customWidth="1"/>
    <col min="16" max="16" width="2.140625" style="11" customWidth="1"/>
    <col min="17" max="17" width="18.42578125" style="11" customWidth="1"/>
    <col min="18" max="18" width="2.140625" style="11" customWidth="1"/>
    <col min="19" max="19" width="9.140625" style="11" customWidth="1"/>
    <col min="20" max="20" width="2.140625" style="11" customWidth="1"/>
    <col min="21" max="21" width="8.85546875" customWidth="1"/>
    <col min="22" max="22" width="13.28515625" customWidth="1"/>
    <col min="23" max="23" width="9.5703125" customWidth="1"/>
  </cols>
  <sheetData>
    <row r="1" spans="1:22" s="5" customFormat="1" x14ac:dyDescent="0.25">
      <c r="A1" s="540" t="s">
        <v>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10" t="s">
        <v>72</v>
      </c>
      <c r="T1" s="53"/>
    </row>
    <row r="2" spans="1:22" s="5" customFormat="1" x14ac:dyDescent="0.25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10" t="s">
        <v>4</v>
      </c>
      <c r="T2" s="53"/>
    </row>
    <row r="3" spans="1:22" s="5" customFormat="1" x14ac:dyDescent="0.25">
      <c r="A3" s="540" t="s">
        <v>2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2"/>
      <c r="T3" s="52"/>
    </row>
    <row r="4" spans="1:22" s="5" customFormat="1" ht="6" customHeight="1" x14ac:dyDescent="0.25">
      <c r="E4" s="332"/>
      <c r="H4" s="10"/>
      <c r="I4" s="51"/>
      <c r="K4" s="10"/>
      <c r="L4" s="10"/>
      <c r="M4" s="10"/>
      <c r="N4" s="10"/>
      <c r="O4" s="51"/>
      <c r="P4" s="10"/>
      <c r="Q4" s="10"/>
      <c r="R4" s="10"/>
      <c r="S4" s="10"/>
      <c r="T4" s="10"/>
    </row>
    <row r="5" spans="1:22" s="5" customFormat="1" x14ac:dyDescent="0.25">
      <c r="A5" s="546" t="s">
        <v>3</v>
      </c>
      <c r="B5" s="546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25"/>
      <c r="S5" s="525"/>
      <c r="T5" s="525"/>
    </row>
    <row r="6" spans="1:22" s="5" customFormat="1" ht="6" customHeight="1" x14ac:dyDescent="0.25">
      <c r="E6" s="332"/>
      <c r="H6" s="10"/>
      <c r="I6" s="51"/>
      <c r="K6" s="10"/>
      <c r="L6" s="10"/>
      <c r="M6" s="10"/>
      <c r="N6" s="10"/>
      <c r="O6" s="51"/>
      <c r="P6" s="10"/>
      <c r="Q6" s="10"/>
      <c r="R6" s="10"/>
      <c r="S6" s="10"/>
      <c r="T6" s="10"/>
    </row>
    <row r="7" spans="1:22" s="5" customFormat="1" x14ac:dyDescent="0.25">
      <c r="A7" s="438" t="str">
        <f>'Page 1'!A7</f>
        <v>Org ID:</v>
      </c>
      <c r="B7" s="439"/>
      <c r="C7" s="439"/>
      <c r="D7" s="439"/>
      <c r="E7" s="439"/>
      <c r="F7" s="439"/>
      <c r="G7" s="440" t="str">
        <f>'Page 1'!O7</f>
        <v>Sample District</v>
      </c>
      <c r="H7" s="441"/>
      <c r="I7" s="441"/>
      <c r="J7" s="441"/>
      <c r="K7" s="441"/>
      <c r="L7" s="442"/>
      <c r="M7" s="442"/>
      <c r="N7" s="442"/>
      <c r="O7" s="442"/>
      <c r="P7" s="442"/>
      <c r="Q7" s="442"/>
      <c r="R7" s="442"/>
      <c r="S7" s="442" t="str">
        <f>'Page 1'!AQ7</f>
        <v>2020-21</v>
      </c>
      <c r="T7" s="442"/>
    </row>
    <row r="8" spans="1:22" ht="6.75" customHeight="1" x14ac:dyDescent="0.25"/>
    <row r="9" spans="1:22" x14ac:dyDescent="0.25">
      <c r="A9" s="6" t="s">
        <v>73</v>
      </c>
      <c r="B9" s="5" t="s">
        <v>94</v>
      </c>
    </row>
    <row r="10" spans="1:22" s="34" customFormat="1" x14ac:dyDescent="0.25">
      <c r="A10" s="415" t="s">
        <v>16</v>
      </c>
      <c r="B10" s="35" t="s">
        <v>74</v>
      </c>
      <c r="H10" s="407"/>
      <c r="I10" s="407"/>
      <c r="J10" s="419"/>
      <c r="K10" s="420"/>
      <c r="L10" s="420"/>
      <c r="M10" s="420"/>
      <c r="N10" s="419"/>
      <c r="O10" s="419"/>
      <c r="P10" s="420"/>
      <c r="Q10" s="419"/>
      <c r="R10" s="407"/>
      <c r="S10" s="407"/>
      <c r="T10" s="407"/>
    </row>
    <row r="11" spans="1:22" s="34" customFormat="1" ht="15.75" thickBot="1" x14ac:dyDescent="0.3">
      <c r="A11" s="415"/>
      <c r="B11" s="415"/>
      <c r="C11" s="35"/>
      <c r="E11" s="419" t="s">
        <v>222</v>
      </c>
      <c r="F11" s="419" t="s">
        <v>223</v>
      </c>
      <c r="H11" s="570" t="s">
        <v>11</v>
      </c>
      <c r="I11" s="570"/>
      <c r="J11" s="419"/>
      <c r="K11" s="419" t="s">
        <v>12</v>
      </c>
      <c r="L11" s="420"/>
      <c r="M11" s="420"/>
      <c r="N11" s="419"/>
      <c r="O11" s="419"/>
      <c r="P11" s="420"/>
      <c r="Q11" s="419"/>
      <c r="R11" s="407"/>
      <c r="S11" s="407"/>
      <c r="T11" s="407"/>
    </row>
    <row r="12" spans="1:22" ht="16.5" thickTop="1" thickBot="1" x14ac:dyDescent="0.3">
      <c r="A12" s="24"/>
      <c r="B12" s="411" t="s">
        <v>6</v>
      </c>
      <c r="C12" s="426" t="s">
        <v>298</v>
      </c>
      <c r="D12" s="24"/>
      <c r="E12" s="481">
        <v>84</v>
      </c>
      <c r="F12" s="481">
        <v>1175</v>
      </c>
      <c r="G12" s="408" t="s">
        <v>31</v>
      </c>
      <c r="H12" s="488">
        <v>499</v>
      </c>
      <c r="I12" s="413"/>
      <c r="J12" s="408" t="s">
        <v>32</v>
      </c>
      <c r="K12" s="427">
        <f>E12+F12+H12</f>
        <v>1758</v>
      </c>
      <c r="L12" s="29"/>
      <c r="M12" s="29"/>
      <c r="N12" s="29"/>
      <c r="O12" s="29"/>
      <c r="P12" s="30"/>
      <c r="Q12" s="29"/>
      <c r="R12" s="29"/>
      <c r="S12" s="29"/>
      <c r="T12" s="29"/>
    </row>
    <row r="13" spans="1:22" s="34" customFormat="1" ht="16.5" thickTop="1" thickBot="1" x14ac:dyDescent="0.3">
      <c r="B13" s="410" t="s">
        <v>8</v>
      </c>
      <c r="C13" s="62" t="s">
        <v>310</v>
      </c>
      <c r="D13" s="34" t="s">
        <v>311</v>
      </c>
      <c r="E13" s="487">
        <v>77</v>
      </c>
      <c r="F13" s="487">
        <v>1120</v>
      </c>
      <c r="G13" s="63" t="s">
        <v>31</v>
      </c>
      <c r="H13" s="489">
        <v>504</v>
      </c>
      <c r="I13" s="412"/>
      <c r="J13" s="64" t="s">
        <v>32</v>
      </c>
      <c r="K13" s="421">
        <f>E13+F13+H13</f>
        <v>1701</v>
      </c>
      <c r="L13" s="407"/>
      <c r="M13" s="407"/>
      <c r="N13" s="65"/>
      <c r="O13" s="65"/>
      <c r="P13" s="407"/>
      <c r="Q13" s="66"/>
      <c r="R13" s="407"/>
      <c r="S13" s="407"/>
      <c r="T13" s="407"/>
    </row>
    <row r="14" spans="1:22" s="34" customFormat="1" ht="15.75" thickTop="1" x14ac:dyDescent="0.25">
      <c r="A14" s="24"/>
      <c r="B14" s="449" t="s">
        <v>9</v>
      </c>
      <c r="C14" s="571" t="s">
        <v>297</v>
      </c>
      <c r="D14" s="572"/>
      <c r="E14" s="490">
        <f>AVERAGE(E12:E13)</f>
        <v>80.5</v>
      </c>
      <c r="F14" s="490">
        <f>AVERAGE(F12:F13)</f>
        <v>1147.5</v>
      </c>
      <c r="G14" s="454" t="s">
        <v>31</v>
      </c>
      <c r="H14" s="491">
        <f>AVERAGE(H12:H13)</f>
        <v>501.5</v>
      </c>
      <c r="I14" s="451"/>
      <c r="J14" s="408" t="s">
        <v>32</v>
      </c>
      <c r="K14" s="447">
        <f>E14+F14+H14</f>
        <v>1729.5</v>
      </c>
      <c r="L14" s="452"/>
      <c r="M14" s="452"/>
      <c r="N14" s="455"/>
      <c r="O14" s="455"/>
      <c r="P14" s="452"/>
      <c r="Q14" s="456"/>
      <c r="R14" s="452"/>
      <c r="S14" s="452"/>
      <c r="T14" s="452"/>
    </row>
    <row r="15" spans="1:22" s="34" customFormat="1" ht="6" customHeight="1" x14ac:dyDescent="0.25">
      <c r="A15" s="55"/>
      <c r="B15" s="55"/>
      <c r="C15" s="62"/>
      <c r="F15" s="45"/>
      <c r="G15" s="63"/>
      <c r="H15" s="45"/>
      <c r="I15" s="45"/>
      <c r="J15" s="64"/>
      <c r="K15" s="45"/>
      <c r="L15" s="44"/>
      <c r="M15" s="44"/>
      <c r="N15" s="65"/>
      <c r="O15" s="65"/>
      <c r="P15" s="44"/>
      <c r="Q15" s="66"/>
      <c r="R15" s="44"/>
      <c r="S15" s="44"/>
      <c r="T15" s="44"/>
    </row>
    <row r="16" spans="1:22" ht="30" customHeight="1" x14ac:dyDescent="0.25">
      <c r="A16" s="9" t="s">
        <v>17</v>
      </c>
      <c r="B16" s="5" t="s">
        <v>75</v>
      </c>
      <c r="D16" s="16"/>
      <c r="E16" s="325"/>
      <c r="F16" s="16"/>
      <c r="H16" s="524" t="s">
        <v>287</v>
      </c>
      <c r="I16" s="524"/>
      <c r="J16" s="13"/>
      <c r="K16" s="524"/>
      <c r="L16" s="524"/>
      <c r="M16" s="11" t="s">
        <v>36</v>
      </c>
      <c r="N16" s="524" t="s">
        <v>80</v>
      </c>
      <c r="O16" s="524"/>
      <c r="P16" s="13" t="s">
        <v>32</v>
      </c>
      <c r="Q16" s="16" t="s">
        <v>90</v>
      </c>
      <c r="S16" s="16"/>
      <c r="T16" s="13"/>
      <c r="V16" s="172"/>
    </row>
    <row r="17" spans="1:24" x14ac:dyDescent="0.25">
      <c r="A17" s="69"/>
      <c r="B17" s="329" t="s">
        <v>6</v>
      </c>
      <c r="C17" s="561" t="s">
        <v>224</v>
      </c>
      <c r="D17" s="563"/>
      <c r="E17" s="405" t="s">
        <v>293</v>
      </c>
      <c r="F17" s="69"/>
      <c r="G17" s="69"/>
      <c r="H17" s="104">
        <f>E13</f>
        <v>77</v>
      </c>
      <c r="I17" s="324"/>
      <c r="J17" s="324"/>
      <c r="K17" s="107"/>
      <c r="L17" s="331"/>
      <c r="M17" s="69" t="s">
        <v>36</v>
      </c>
      <c r="N17" s="475">
        <f>'Page 1'!AP45</f>
        <v>7295</v>
      </c>
      <c r="O17" s="67"/>
      <c r="P17" s="324" t="s">
        <v>32</v>
      </c>
      <c r="Q17" s="250">
        <f>ROUND((H17+K17)*N17,2)</f>
        <v>561715</v>
      </c>
      <c r="R17" s="69"/>
      <c r="S17" s="327"/>
      <c r="T17" s="324"/>
      <c r="V17" s="214"/>
      <c r="W17" s="214"/>
    </row>
    <row r="18" spans="1:24" s="34" customFormat="1" x14ac:dyDescent="0.25">
      <c r="A18" s="44"/>
      <c r="B18" s="334" t="s">
        <v>8</v>
      </c>
      <c r="C18" s="562" t="s">
        <v>315</v>
      </c>
      <c r="D18" s="562"/>
      <c r="E18" s="44"/>
      <c r="F18" s="44"/>
      <c r="G18" s="44"/>
      <c r="H18" s="106">
        <f>AVERAGE(F12:F13)</f>
        <v>1147.5</v>
      </c>
      <c r="I18" s="64"/>
      <c r="J18" s="64"/>
      <c r="K18" s="119"/>
      <c r="L18" s="45"/>
      <c r="M18" s="44" t="s">
        <v>36</v>
      </c>
      <c r="N18" s="476">
        <f>'Page 1'!AP45</f>
        <v>7295</v>
      </c>
      <c r="O18" s="116"/>
      <c r="P18" s="64" t="s">
        <v>32</v>
      </c>
      <c r="Q18" s="251">
        <f>ROUND((H18+K18)*N18,2)</f>
        <v>8371012.5</v>
      </c>
      <c r="R18" s="44"/>
      <c r="S18" s="48"/>
      <c r="T18" s="64"/>
      <c r="V18" s="345"/>
      <c r="W18" s="303"/>
      <c r="X18" s="303"/>
    </row>
    <row r="19" spans="1:24" ht="15.75" thickBot="1" x14ac:dyDescent="0.3">
      <c r="A19" s="69"/>
      <c r="B19" s="329" t="s">
        <v>9</v>
      </c>
      <c r="C19" s="561" t="s">
        <v>76</v>
      </c>
      <c r="D19" s="561"/>
      <c r="E19" s="329"/>
      <c r="F19" s="69"/>
      <c r="G19" s="24"/>
      <c r="H19" s="104">
        <f>AVERAGE(H12:H13)</f>
        <v>501.5</v>
      </c>
      <c r="I19" s="69"/>
      <c r="J19" s="324"/>
      <c r="K19" s="107"/>
      <c r="L19" s="220"/>
      <c r="M19" s="69" t="s">
        <v>36</v>
      </c>
      <c r="N19" s="475">
        <f>'Page 1'!AQ45</f>
        <v>7748</v>
      </c>
      <c r="O19" s="67"/>
      <c r="P19" s="324" t="s">
        <v>32</v>
      </c>
      <c r="Q19" s="250">
        <f>ROUND((H19+K19)*N19,2)</f>
        <v>3885622</v>
      </c>
      <c r="R19" s="69"/>
      <c r="S19" s="327"/>
      <c r="T19" s="324"/>
    </row>
    <row r="20" spans="1:24" s="34" customFormat="1" ht="16.5" thickTop="1" thickBot="1" x14ac:dyDescent="0.3">
      <c r="A20" s="44"/>
      <c r="B20" s="334" t="s">
        <v>21</v>
      </c>
      <c r="C20" s="562" t="s">
        <v>77</v>
      </c>
      <c r="D20" s="562"/>
      <c r="E20" s="44"/>
      <c r="F20" s="44"/>
      <c r="G20" s="44"/>
      <c r="H20" s="489">
        <v>0</v>
      </c>
      <c r="I20" s="64"/>
      <c r="J20" s="64"/>
      <c r="K20" s="567"/>
      <c r="L20" s="560"/>
      <c r="M20" s="44" t="s">
        <v>36</v>
      </c>
      <c r="N20" s="476">
        <f>'Page 1'!AQ45</f>
        <v>7748</v>
      </c>
      <c r="O20" s="116"/>
      <c r="P20" s="64" t="s">
        <v>32</v>
      </c>
      <c r="Q20" s="251">
        <f>ROUND(H20*N20,2)</f>
        <v>0</v>
      </c>
      <c r="R20" s="44"/>
      <c r="S20" s="48"/>
      <c r="T20" s="64"/>
      <c r="W20" s="338"/>
      <c r="X20" s="338"/>
    </row>
    <row r="21" spans="1:24" s="34" customFormat="1" ht="16.5" thickTop="1" thickBot="1" x14ac:dyDescent="0.3">
      <c r="A21" s="69"/>
      <c r="B21" s="329" t="s">
        <v>23</v>
      </c>
      <c r="C21" s="335" t="s">
        <v>225</v>
      </c>
      <c r="D21" s="329"/>
      <c r="E21" s="405" t="s">
        <v>293</v>
      </c>
      <c r="F21" s="69"/>
      <c r="G21" s="69"/>
      <c r="H21" s="488">
        <v>0</v>
      </c>
      <c r="I21" s="324"/>
      <c r="J21" s="324"/>
      <c r="K21" s="331"/>
      <c r="L21" s="69"/>
      <c r="M21" s="69" t="s">
        <v>36</v>
      </c>
      <c r="N21" s="475">
        <f>'Page 1'!AP45</f>
        <v>7295</v>
      </c>
      <c r="O21" s="67"/>
      <c r="P21" s="324" t="s">
        <v>32</v>
      </c>
      <c r="Q21" s="250">
        <f>ROUND(H21*N21,2)</f>
        <v>0</v>
      </c>
      <c r="R21" s="69"/>
      <c r="S21" s="327"/>
      <c r="T21" s="324"/>
    </row>
    <row r="22" spans="1:24" s="34" customFormat="1" ht="16.5" thickTop="1" thickBot="1" x14ac:dyDescent="0.3">
      <c r="A22" s="44"/>
      <c r="B22" s="334" t="s">
        <v>25</v>
      </c>
      <c r="C22" s="562" t="s">
        <v>78</v>
      </c>
      <c r="D22" s="562"/>
      <c r="E22" s="334"/>
      <c r="F22" s="44"/>
      <c r="H22" s="492">
        <v>0.5</v>
      </c>
      <c r="I22" s="339"/>
      <c r="J22" s="64"/>
      <c r="K22" s="567"/>
      <c r="L22" s="560"/>
      <c r="M22" s="44" t="s">
        <v>36</v>
      </c>
      <c r="N22" s="476">
        <f>'Page 1'!AP45</f>
        <v>7295</v>
      </c>
      <c r="O22" s="116"/>
      <c r="P22" s="64" t="s">
        <v>32</v>
      </c>
      <c r="Q22" s="251">
        <f>ROUND(H22*N22,2)</f>
        <v>3647.5</v>
      </c>
      <c r="R22" s="44"/>
      <c r="S22" s="48"/>
      <c r="T22" s="64"/>
    </row>
    <row r="23" spans="1:24" s="34" customFormat="1" ht="16.5" thickTop="1" thickBot="1" x14ac:dyDescent="0.3">
      <c r="A23" s="69"/>
      <c r="B23" s="329" t="s">
        <v>27</v>
      </c>
      <c r="C23" s="561" t="s">
        <v>79</v>
      </c>
      <c r="D23" s="561"/>
      <c r="E23" s="69"/>
      <c r="F23" s="69"/>
      <c r="G23" s="69"/>
      <c r="H23" s="493">
        <v>0.625</v>
      </c>
      <c r="I23" s="324"/>
      <c r="J23" s="324"/>
      <c r="K23" s="568"/>
      <c r="L23" s="569"/>
      <c r="M23" s="69" t="s">
        <v>36</v>
      </c>
      <c r="N23" s="475">
        <f>'Page 1'!AQ45</f>
        <v>7748</v>
      </c>
      <c r="O23" s="67"/>
      <c r="P23" s="324" t="s">
        <v>32</v>
      </c>
      <c r="Q23" s="250">
        <f>ROUND(H23*N23,2)</f>
        <v>4842.5</v>
      </c>
      <c r="R23" s="69"/>
      <c r="S23" s="327"/>
      <c r="T23" s="324"/>
    </row>
    <row r="24" spans="1:24" ht="6" customHeight="1" thickTop="1" x14ac:dyDescent="0.25">
      <c r="A24" s="4"/>
      <c r="B24" s="57"/>
      <c r="D24" s="15"/>
      <c r="E24" s="333"/>
      <c r="F24" s="11"/>
      <c r="G24" s="13"/>
      <c r="H24" s="15"/>
      <c r="I24" s="60"/>
      <c r="J24" s="13"/>
      <c r="K24" s="15"/>
      <c r="M24" s="13"/>
      <c r="P24" s="13"/>
      <c r="S24" s="20"/>
      <c r="T24" s="13"/>
    </row>
    <row r="25" spans="1:24" s="5" customFormat="1" ht="30.75" thickBot="1" x14ac:dyDescent="0.3">
      <c r="A25" s="8" t="s">
        <v>42</v>
      </c>
      <c r="B25" s="566" t="s">
        <v>81</v>
      </c>
      <c r="C25" s="566"/>
      <c r="E25" s="332"/>
      <c r="H25" s="540" t="s">
        <v>84</v>
      </c>
      <c r="I25" s="540"/>
      <c r="K25" s="524" t="s">
        <v>85</v>
      </c>
      <c r="L25" s="525"/>
      <c r="M25" s="10"/>
      <c r="N25" s="524" t="s">
        <v>80</v>
      </c>
      <c r="O25" s="524"/>
      <c r="P25" s="10"/>
      <c r="Q25" s="16" t="s">
        <v>91</v>
      </c>
      <c r="R25" s="10"/>
      <c r="S25" s="10"/>
      <c r="T25" s="10"/>
    </row>
    <row r="26" spans="1:24" s="332" customFormat="1" ht="16.5" thickTop="1" thickBot="1" x14ac:dyDescent="0.3">
      <c r="A26" s="85"/>
      <c r="B26" s="329" t="s">
        <v>6</v>
      </c>
      <c r="C26" s="561" t="s">
        <v>226</v>
      </c>
      <c r="D26" s="561"/>
      <c r="E26" s="40"/>
      <c r="F26" s="494">
        <v>0.43440000000000001</v>
      </c>
      <c r="G26" s="40"/>
      <c r="H26" s="80">
        <f>ROUND(F26*H17,1)</f>
        <v>33.4</v>
      </c>
      <c r="I26" s="41"/>
      <c r="J26" s="69" t="s">
        <v>36</v>
      </c>
      <c r="K26" s="73">
        <v>0.15</v>
      </c>
      <c r="L26" s="69"/>
      <c r="M26" s="69" t="s">
        <v>36</v>
      </c>
      <c r="N26" s="477">
        <f>'Page 1'!AP45</f>
        <v>7295</v>
      </c>
      <c r="O26" s="341"/>
      <c r="P26" s="324" t="s">
        <v>32</v>
      </c>
      <c r="Q26" s="250">
        <f t="shared" ref="Q26:Q31" si="0">ROUND(H26*K26*N26,2)</f>
        <v>36547.949999999997</v>
      </c>
      <c r="R26" s="41"/>
      <c r="S26" s="41"/>
      <c r="T26" s="41"/>
    </row>
    <row r="27" spans="1:24" s="34" customFormat="1" ht="15.75" thickTop="1" x14ac:dyDescent="0.25">
      <c r="B27" s="334" t="s">
        <v>8</v>
      </c>
      <c r="C27" s="562" t="s">
        <v>228</v>
      </c>
      <c r="D27" s="562"/>
      <c r="E27" s="334"/>
      <c r="F27" s="340">
        <f>F26</f>
        <v>0.43440000000000001</v>
      </c>
      <c r="H27" s="176">
        <f>ROUND(F27*H18,1)</f>
        <v>498.5</v>
      </c>
      <c r="I27" s="117"/>
      <c r="J27" s="44" t="s">
        <v>36</v>
      </c>
      <c r="K27" s="117">
        <v>0.15</v>
      </c>
      <c r="L27" s="45"/>
      <c r="M27" s="44" t="s">
        <v>36</v>
      </c>
      <c r="N27" s="478">
        <f>'Page 1'!AP45</f>
        <v>7295</v>
      </c>
      <c r="O27" s="116"/>
      <c r="P27" s="64" t="s">
        <v>32</v>
      </c>
      <c r="Q27" s="251">
        <f t="shared" si="0"/>
        <v>545483.63</v>
      </c>
      <c r="R27" s="44"/>
      <c r="S27" s="44"/>
      <c r="T27" s="44"/>
    </row>
    <row r="28" spans="1:24" ht="15.75" thickBot="1" x14ac:dyDescent="0.3">
      <c r="A28" s="24"/>
      <c r="B28" s="329" t="s">
        <v>9</v>
      </c>
      <c r="C28" s="561" t="s">
        <v>82</v>
      </c>
      <c r="D28" s="561"/>
      <c r="E28" s="329"/>
      <c r="F28" s="212">
        <f>F27</f>
        <v>0.43440000000000001</v>
      </c>
      <c r="G28" s="24"/>
      <c r="H28" s="80">
        <f>ROUND(F28*H19,1)</f>
        <v>217.9</v>
      </c>
      <c r="I28" s="73"/>
      <c r="J28" s="69" t="s">
        <v>36</v>
      </c>
      <c r="K28" s="73">
        <v>0.15</v>
      </c>
      <c r="L28" s="220"/>
      <c r="M28" s="69" t="s">
        <v>36</v>
      </c>
      <c r="N28" s="477">
        <f>'Page 1'!AQ45</f>
        <v>7748</v>
      </c>
      <c r="O28" s="67"/>
      <c r="P28" s="324" t="s">
        <v>32</v>
      </c>
      <c r="Q28" s="250">
        <f t="shared" si="0"/>
        <v>253243.38</v>
      </c>
      <c r="R28" s="69"/>
      <c r="S28" s="69"/>
      <c r="T28" s="69"/>
      <c r="V28" s="184" t="s">
        <v>192</v>
      </c>
    </row>
    <row r="29" spans="1:24" ht="16.5" thickTop="1" thickBot="1" x14ac:dyDescent="0.3">
      <c r="B29" s="330" t="s">
        <v>21</v>
      </c>
      <c r="C29" s="562" t="s">
        <v>227</v>
      </c>
      <c r="D29" s="562"/>
      <c r="E29" s="330"/>
      <c r="F29" s="213"/>
      <c r="H29" s="484">
        <v>0</v>
      </c>
      <c r="I29" s="74"/>
      <c r="J29" s="44" t="s">
        <v>36</v>
      </c>
      <c r="K29" s="215">
        <f>W30</f>
        <v>0.5</v>
      </c>
      <c r="L29" s="102"/>
      <c r="M29" s="44" t="s">
        <v>36</v>
      </c>
      <c r="N29" s="479">
        <f>N27</f>
        <v>7295</v>
      </c>
      <c r="O29" s="68"/>
      <c r="P29" s="64" t="s">
        <v>32</v>
      </c>
      <c r="Q29" s="251">
        <f t="shared" si="0"/>
        <v>0</v>
      </c>
      <c r="R29" s="322"/>
      <c r="S29" s="322"/>
      <c r="T29" s="322"/>
      <c r="V29" s="332"/>
    </row>
    <row r="30" spans="1:24" ht="16.5" thickTop="1" thickBot="1" x14ac:dyDescent="0.3">
      <c r="A30" s="24"/>
      <c r="B30" s="23" t="s">
        <v>23</v>
      </c>
      <c r="C30" s="561" t="s">
        <v>229</v>
      </c>
      <c r="D30" s="561"/>
      <c r="E30" s="329"/>
      <c r="F30" s="24"/>
      <c r="G30" s="24"/>
      <c r="H30" s="483">
        <v>16</v>
      </c>
      <c r="I30" s="73"/>
      <c r="J30" s="25" t="s">
        <v>36</v>
      </c>
      <c r="K30" s="83">
        <f>W30</f>
        <v>0.5</v>
      </c>
      <c r="L30" s="59"/>
      <c r="M30" s="25" t="s">
        <v>36</v>
      </c>
      <c r="N30" s="477">
        <f>'Page 1'!AP45</f>
        <v>7295</v>
      </c>
      <c r="O30" s="67"/>
      <c r="P30" s="27" t="s">
        <v>32</v>
      </c>
      <c r="Q30" s="250">
        <f t="shared" si="0"/>
        <v>58360</v>
      </c>
      <c r="R30" s="25"/>
      <c r="S30" s="25"/>
      <c r="T30" s="25"/>
      <c r="V30" s="255">
        <f>H30+H31</f>
        <v>20</v>
      </c>
      <c r="W30" s="215">
        <f>IF(V30&lt;16,0.7,IF(V30&gt;250,0.525,0.5))</f>
        <v>0.5</v>
      </c>
    </row>
    <row r="31" spans="1:24" ht="16.5" thickTop="1" thickBot="1" x14ac:dyDescent="0.3">
      <c r="B31" s="4" t="s">
        <v>25</v>
      </c>
      <c r="C31" s="563" t="s">
        <v>83</v>
      </c>
      <c r="D31" s="563"/>
      <c r="E31" s="330"/>
      <c r="H31" s="484">
        <v>4</v>
      </c>
      <c r="I31" s="74"/>
      <c r="J31" s="11" t="s">
        <v>36</v>
      </c>
      <c r="K31" s="215">
        <f>K30</f>
        <v>0.5</v>
      </c>
      <c r="L31" s="70"/>
      <c r="M31" s="11" t="s">
        <v>36</v>
      </c>
      <c r="N31" s="479">
        <f>'Page 1'!AQ45</f>
        <v>7748</v>
      </c>
      <c r="O31" s="68"/>
      <c r="P31" s="13" t="s">
        <v>32</v>
      </c>
      <c r="Q31" s="120">
        <f t="shared" si="0"/>
        <v>15496</v>
      </c>
    </row>
    <row r="32" spans="1:24" ht="6" customHeight="1" thickTop="1" x14ac:dyDescent="0.25"/>
    <row r="33" spans="1:22" s="5" customFormat="1" ht="30" customHeight="1" x14ac:dyDescent="0.25">
      <c r="A33" s="8" t="s">
        <v>49</v>
      </c>
      <c r="B33" s="566" t="s">
        <v>86</v>
      </c>
      <c r="C33" s="566"/>
      <c r="E33" s="332"/>
      <c r="F33" s="10"/>
      <c r="H33" s="565" t="s">
        <v>84</v>
      </c>
      <c r="I33" s="565"/>
      <c r="K33" s="540" t="s">
        <v>85</v>
      </c>
      <c r="L33" s="525"/>
      <c r="M33" s="10"/>
      <c r="N33" s="524" t="s">
        <v>89</v>
      </c>
      <c r="O33" s="524"/>
      <c r="P33" s="10"/>
      <c r="Q33" s="16" t="s">
        <v>92</v>
      </c>
      <c r="R33" s="10"/>
      <c r="S33" s="10"/>
      <c r="T33" s="10"/>
    </row>
    <row r="34" spans="1:22" s="332" customFormat="1" x14ac:dyDescent="0.25">
      <c r="A34" s="32"/>
      <c r="B34" s="329" t="s">
        <v>6</v>
      </c>
      <c r="C34" s="561" t="s">
        <v>230</v>
      </c>
      <c r="D34" s="561"/>
      <c r="E34" s="405" t="s">
        <v>293</v>
      </c>
      <c r="F34" s="32"/>
      <c r="G34" s="32"/>
      <c r="H34" s="104">
        <f>H17</f>
        <v>77</v>
      </c>
      <c r="I34" s="328"/>
      <c r="J34" s="69"/>
      <c r="K34" s="329"/>
      <c r="L34" s="331"/>
      <c r="M34" s="69" t="s">
        <v>36</v>
      </c>
      <c r="N34" s="216">
        <v>51</v>
      </c>
      <c r="O34" s="73"/>
      <c r="P34" s="324" t="s">
        <v>32</v>
      </c>
      <c r="Q34" s="250">
        <f t="shared" ref="Q34:Q39" si="1">ROUND(H34*N34,2)</f>
        <v>3927</v>
      </c>
      <c r="R34" s="69"/>
      <c r="S34" s="69"/>
      <c r="T34" s="69"/>
    </row>
    <row r="35" spans="1:22" s="34" customFormat="1" x14ac:dyDescent="0.25">
      <c r="A35" s="113"/>
      <c r="B35" s="334" t="s">
        <v>8</v>
      </c>
      <c r="C35" s="562" t="s">
        <v>231</v>
      </c>
      <c r="D35" s="562"/>
      <c r="E35" s="334"/>
      <c r="F35" s="113"/>
      <c r="G35" s="113"/>
      <c r="H35" s="106">
        <f>H18</f>
        <v>1147.5</v>
      </c>
      <c r="I35" s="326"/>
      <c r="J35" s="44"/>
      <c r="K35" s="334"/>
      <c r="L35" s="45"/>
      <c r="M35" s="44" t="s">
        <v>36</v>
      </c>
      <c r="N35" s="342">
        <v>51</v>
      </c>
      <c r="O35" s="117"/>
      <c r="P35" s="64" t="s">
        <v>32</v>
      </c>
      <c r="Q35" s="251">
        <f t="shared" si="1"/>
        <v>58522.5</v>
      </c>
      <c r="R35" s="44"/>
      <c r="S35" s="44"/>
      <c r="T35" s="44"/>
    </row>
    <row r="36" spans="1:22" x14ac:dyDescent="0.25">
      <c r="A36" s="32"/>
      <c r="B36" s="329" t="s">
        <v>9</v>
      </c>
      <c r="C36" s="561" t="s">
        <v>87</v>
      </c>
      <c r="D36" s="561"/>
      <c r="E36" s="329"/>
      <c r="F36" s="32"/>
      <c r="G36" s="32"/>
      <c r="H36" s="104">
        <f>H19</f>
        <v>501.5</v>
      </c>
      <c r="I36" s="328"/>
      <c r="J36" s="69"/>
      <c r="K36" s="329"/>
      <c r="L36" s="69"/>
      <c r="M36" s="69" t="s">
        <v>36</v>
      </c>
      <c r="N36" s="216">
        <v>51</v>
      </c>
      <c r="O36" s="73"/>
      <c r="P36" s="324" t="s">
        <v>32</v>
      </c>
      <c r="Q36" s="250">
        <f t="shared" si="1"/>
        <v>25576.5</v>
      </c>
      <c r="R36" s="69"/>
      <c r="S36" s="69"/>
      <c r="T36" s="69"/>
    </row>
    <row r="37" spans="1:22" s="34" customFormat="1" x14ac:dyDescent="0.25">
      <c r="A37" s="113"/>
      <c r="B37" s="334" t="s">
        <v>21</v>
      </c>
      <c r="C37" s="562" t="s">
        <v>232</v>
      </c>
      <c r="D37" s="562"/>
      <c r="E37" s="406" t="s">
        <v>293</v>
      </c>
      <c r="F37" s="113"/>
      <c r="G37" s="113"/>
      <c r="H37" s="106">
        <f>H34</f>
        <v>77</v>
      </c>
      <c r="I37" s="326"/>
      <c r="J37" s="44"/>
      <c r="K37" s="334"/>
      <c r="L37" s="44"/>
      <c r="M37" s="44" t="s">
        <v>36</v>
      </c>
      <c r="N37" s="342">
        <v>111</v>
      </c>
      <c r="O37" s="117"/>
      <c r="P37" s="64" t="s">
        <v>32</v>
      </c>
      <c r="Q37" s="251">
        <f t="shared" si="1"/>
        <v>8547</v>
      </c>
      <c r="R37" s="44"/>
      <c r="S37" s="44"/>
      <c r="T37" s="44"/>
    </row>
    <row r="38" spans="1:22" x14ac:dyDescent="0.25">
      <c r="A38" s="32"/>
      <c r="B38" s="23" t="s">
        <v>23</v>
      </c>
      <c r="C38" s="561" t="s">
        <v>233</v>
      </c>
      <c r="D38" s="561"/>
      <c r="E38" s="329"/>
      <c r="F38" s="32"/>
      <c r="G38" s="32"/>
      <c r="H38" s="104">
        <f>H18</f>
        <v>1147.5</v>
      </c>
      <c r="I38" s="71"/>
      <c r="J38" s="25"/>
      <c r="K38" s="56"/>
      <c r="L38" s="59"/>
      <c r="M38" s="25" t="s">
        <v>36</v>
      </c>
      <c r="N38" s="216">
        <v>111</v>
      </c>
      <c r="O38" s="73"/>
      <c r="P38" s="27" t="s">
        <v>32</v>
      </c>
      <c r="Q38" s="250">
        <f t="shared" si="1"/>
        <v>127372.5</v>
      </c>
      <c r="R38" s="25"/>
      <c r="S38" s="25"/>
      <c r="T38" s="25"/>
    </row>
    <row r="39" spans="1:22" x14ac:dyDescent="0.25">
      <c r="A39" s="20"/>
      <c r="B39" s="4" t="s">
        <v>25</v>
      </c>
      <c r="C39" s="563" t="s">
        <v>88</v>
      </c>
      <c r="D39" s="563"/>
      <c r="E39" s="330"/>
      <c r="F39" s="20"/>
      <c r="G39" s="20"/>
      <c r="H39" s="105">
        <f>H19</f>
        <v>501.5</v>
      </c>
      <c r="I39" s="72"/>
      <c r="J39" s="11"/>
      <c r="K39" s="57"/>
      <c r="L39" s="52"/>
      <c r="M39" s="11" t="s">
        <v>36</v>
      </c>
      <c r="N39" s="217">
        <v>334</v>
      </c>
      <c r="O39" s="74"/>
      <c r="P39" s="13" t="s">
        <v>32</v>
      </c>
      <c r="Q39" s="120">
        <f t="shared" si="1"/>
        <v>167501</v>
      </c>
    </row>
    <row r="40" spans="1:22" ht="15.75" thickBot="1" x14ac:dyDescent="0.3">
      <c r="A40" s="32"/>
      <c r="B40" s="373" t="s">
        <v>27</v>
      </c>
      <c r="C40" s="373"/>
      <c r="D40" s="373" t="s">
        <v>224</v>
      </c>
      <c r="E40" s="405" t="s">
        <v>293</v>
      </c>
      <c r="F40" s="32"/>
      <c r="G40" s="32"/>
      <c r="H40" s="104">
        <f>H17</f>
        <v>77</v>
      </c>
      <c r="I40" s="372"/>
      <c r="J40" s="377" t="s">
        <v>36</v>
      </c>
      <c r="K40" s="73">
        <v>0.1</v>
      </c>
      <c r="L40" s="376"/>
      <c r="M40" s="377" t="s">
        <v>36</v>
      </c>
      <c r="N40" s="477">
        <f>'Page 1'!AP45</f>
        <v>7295</v>
      </c>
      <c r="O40" s="73"/>
      <c r="P40" s="368" t="s">
        <v>32</v>
      </c>
      <c r="Q40" s="250">
        <f>ROUND(H40*K40*N40,2)</f>
        <v>56171.5</v>
      </c>
      <c r="R40" s="377"/>
      <c r="S40" s="377"/>
      <c r="T40" s="377"/>
    </row>
    <row r="41" spans="1:22" s="34" customFormat="1" ht="16.5" thickTop="1" thickBot="1" x14ac:dyDescent="0.3">
      <c r="A41" s="113"/>
      <c r="B41" s="374" t="s">
        <v>29</v>
      </c>
      <c r="D41" s="374" t="s">
        <v>234</v>
      </c>
      <c r="E41" s="374"/>
      <c r="F41" s="113"/>
      <c r="G41" s="113"/>
      <c r="H41" s="489">
        <v>376</v>
      </c>
      <c r="I41" s="370"/>
      <c r="J41" s="371" t="s">
        <v>36</v>
      </c>
      <c r="K41" s="117">
        <v>0.1</v>
      </c>
      <c r="L41" s="375"/>
      <c r="M41" s="371" t="s">
        <v>36</v>
      </c>
      <c r="N41" s="478">
        <f>'Page 1'!AP45</f>
        <v>7295</v>
      </c>
      <c r="O41" s="117"/>
      <c r="P41" s="64" t="s">
        <v>32</v>
      </c>
      <c r="Q41" s="251">
        <f>ROUND(H41*K41*N41,2)</f>
        <v>274292</v>
      </c>
      <c r="R41" s="371"/>
      <c r="S41" s="371"/>
      <c r="T41" s="371"/>
    </row>
    <row r="42" spans="1:22" s="35" customFormat="1" ht="15.75" thickTop="1" x14ac:dyDescent="0.25">
      <c r="A42" s="85"/>
      <c r="B42" s="411" t="s">
        <v>147</v>
      </c>
      <c r="C42" s="561" t="s">
        <v>226</v>
      </c>
      <c r="D42" s="561"/>
      <c r="E42" s="405" t="s">
        <v>293</v>
      </c>
      <c r="F42" s="212"/>
      <c r="G42" s="40"/>
      <c r="H42" s="80">
        <f>H26</f>
        <v>33.4</v>
      </c>
      <c r="I42" s="41"/>
      <c r="J42" s="414" t="s">
        <v>36</v>
      </c>
      <c r="K42" s="73">
        <v>0.05</v>
      </c>
      <c r="L42" s="414"/>
      <c r="M42" s="414" t="s">
        <v>36</v>
      </c>
      <c r="N42" s="477">
        <f>'Page 1'!AP45</f>
        <v>7295</v>
      </c>
      <c r="O42" s="341"/>
      <c r="P42" s="368" t="s">
        <v>32</v>
      </c>
      <c r="Q42" s="250">
        <f>ROUND(H42*K42*N42,2)</f>
        <v>12182.65</v>
      </c>
      <c r="R42" s="41"/>
      <c r="S42" s="41"/>
      <c r="T42" s="41"/>
    </row>
    <row r="43" spans="1:22" s="34" customFormat="1" x14ac:dyDescent="0.25">
      <c r="B43" s="410" t="s">
        <v>282</v>
      </c>
      <c r="C43" s="562" t="s">
        <v>228</v>
      </c>
      <c r="D43" s="562"/>
      <c r="E43" s="410"/>
      <c r="F43" s="340"/>
      <c r="H43" s="176">
        <f>H27</f>
        <v>498.5</v>
      </c>
      <c r="I43" s="117"/>
      <c r="J43" s="407" t="s">
        <v>36</v>
      </c>
      <c r="K43" s="117">
        <v>0.05</v>
      </c>
      <c r="L43" s="412"/>
      <c r="M43" s="407" t="s">
        <v>36</v>
      </c>
      <c r="N43" s="478">
        <f>'Page 1'!AP45</f>
        <v>7295</v>
      </c>
      <c r="O43" s="116"/>
      <c r="P43" s="64" t="s">
        <v>32</v>
      </c>
      <c r="Q43" s="251">
        <f>ROUND(H43*K43*N43,2)</f>
        <v>181827.88</v>
      </c>
      <c r="R43" s="407"/>
      <c r="S43" s="407"/>
      <c r="T43" s="407"/>
    </row>
    <row r="44" spans="1:22" s="34" customFormat="1" x14ac:dyDescent="0.25">
      <c r="A44" s="24"/>
      <c r="B44" s="411" t="s">
        <v>283</v>
      </c>
      <c r="C44" s="561" t="s">
        <v>82</v>
      </c>
      <c r="D44" s="561"/>
      <c r="E44" s="411"/>
      <c r="F44" s="212"/>
      <c r="G44" s="24"/>
      <c r="H44" s="80">
        <f>H28</f>
        <v>217.9</v>
      </c>
      <c r="I44" s="73"/>
      <c r="J44" s="414" t="s">
        <v>36</v>
      </c>
      <c r="K44" s="73">
        <v>0.05</v>
      </c>
      <c r="L44" s="220"/>
      <c r="M44" s="414" t="s">
        <v>36</v>
      </c>
      <c r="N44" s="477">
        <f>'Page 1'!AQ45</f>
        <v>7748</v>
      </c>
      <c r="O44" s="67"/>
      <c r="P44" s="368" t="s">
        <v>32</v>
      </c>
      <c r="Q44" s="250">
        <f>ROUND(H44*K44*N44,2)</f>
        <v>84414.46</v>
      </c>
      <c r="R44" s="377"/>
      <c r="S44" s="377"/>
      <c r="T44" s="377"/>
      <c r="V44" s="35" t="s">
        <v>192</v>
      </c>
    </row>
    <row r="45" spans="1:22" ht="6" customHeight="1" x14ac:dyDescent="0.25">
      <c r="F45" s="11"/>
      <c r="G45" s="11"/>
      <c r="J45" s="11"/>
      <c r="M45" s="13"/>
      <c r="P45" s="13"/>
    </row>
    <row r="46" spans="1:22" s="5" customFormat="1" ht="15.75" thickBot="1" x14ac:dyDescent="0.3">
      <c r="A46" s="8" t="s">
        <v>60</v>
      </c>
      <c r="B46" s="564" t="s">
        <v>93</v>
      </c>
      <c r="C46" s="564"/>
      <c r="D46" s="523"/>
      <c r="E46" s="323"/>
      <c r="V46" s="184" t="s">
        <v>193</v>
      </c>
    </row>
    <row r="47" spans="1:22" s="5" customFormat="1" ht="16.5" thickTop="1" thickBot="1" x14ac:dyDescent="0.3">
      <c r="A47" s="41"/>
      <c r="B47" s="38" t="s">
        <v>6</v>
      </c>
      <c r="C47" s="24" t="s">
        <v>290</v>
      </c>
      <c r="D47" s="40"/>
      <c r="E47" s="40"/>
      <c r="F47" s="41"/>
      <c r="G47" s="41"/>
      <c r="H47" s="42"/>
      <c r="I47" s="42"/>
      <c r="J47" s="39"/>
      <c r="K47" s="23"/>
      <c r="L47" s="42"/>
      <c r="M47" s="42"/>
      <c r="N47" s="42"/>
      <c r="O47" s="42"/>
      <c r="P47" s="27" t="s">
        <v>32</v>
      </c>
      <c r="Q47" s="495">
        <v>0</v>
      </c>
      <c r="R47" s="42"/>
      <c r="S47" s="42"/>
      <c r="T47" s="42"/>
      <c r="V47" s="256">
        <f>(Q18+Q22+Q27+Q30)/(H18)</f>
        <v>7824.4040348583885</v>
      </c>
    </row>
    <row r="48" spans="1:22" ht="16.5" thickTop="1" thickBot="1" x14ac:dyDescent="0.3">
      <c r="B48" s="36" t="s">
        <v>8</v>
      </c>
      <c r="C48" t="s">
        <v>218</v>
      </c>
      <c r="F48" s="11"/>
      <c r="G48" s="11"/>
      <c r="P48" s="13" t="s">
        <v>32</v>
      </c>
      <c r="Q48" s="496">
        <v>0</v>
      </c>
    </row>
    <row r="49" spans="1:20" ht="11.25" customHeight="1" thickTop="1" x14ac:dyDescent="0.25">
      <c r="F49" s="11"/>
      <c r="G49" s="11"/>
    </row>
    <row r="50" spans="1:20" x14ac:dyDescent="0.25">
      <c r="A50" s="12" t="s">
        <v>73</v>
      </c>
      <c r="B50" s="12" t="s">
        <v>95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 t="s">
        <v>32</v>
      </c>
      <c r="Q50" s="365">
        <f>ROUND(SUM(Q17:Q49),2)</f>
        <v>14736305.449999999</v>
      </c>
      <c r="R50" s="43"/>
      <c r="S50" s="43"/>
      <c r="T50" s="43"/>
    </row>
  </sheetData>
  <mergeCells count="42">
    <mergeCell ref="A5:T5"/>
    <mergeCell ref="H11:I11"/>
    <mergeCell ref="C20:D20"/>
    <mergeCell ref="C22:D22"/>
    <mergeCell ref="C23:D23"/>
    <mergeCell ref="C19:D19"/>
    <mergeCell ref="C14:D14"/>
    <mergeCell ref="N33:O33"/>
    <mergeCell ref="B25:C25"/>
    <mergeCell ref="B33:C33"/>
    <mergeCell ref="H16:I16"/>
    <mergeCell ref="K22:L22"/>
    <mergeCell ref="C31:D31"/>
    <mergeCell ref="K16:L16"/>
    <mergeCell ref="K20:L20"/>
    <mergeCell ref="K23:L23"/>
    <mergeCell ref="C17:D17"/>
    <mergeCell ref="A1:R1"/>
    <mergeCell ref="A2:R2"/>
    <mergeCell ref="A3:R3"/>
    <mergeCell ref="B46:D46"/>
    <mergeCell ref="H25:I25"/>
    <mergeCell ref="H33:I33"/>
    <mergeCell ref="N16:O16"/>
    <mergeCell ref="N25:O25"/>
    <mergeCell ref="C18:D18"/>
    <mergeCell ref="C38:D38"/>
    <mergeCell ref="K33:L33"/>
    <mergeCell ref="K25:L25"/>
    <mergeCell ref="C27:D27"/>
    <mergeCell ref="C28:D28"/>
    <mergeCell ref="C30:D30"/>
    <mergeCell ref="C39:D39"/>
    <mergeCell ref="C26:D26"/>
    <mergeCell ref="C29:D29"/>
    <mergeCell ref="C42:D42"/>
    <mergeCell ref="C43:D43"/>
    <mergeCell ref="C44:D44"/>
    <mergeCell ref="C34:D34"/>
    <mergeCell ref="C37:D37"/>
    <mergeCell ref="C35:D35"/>
    <mergeCell ref="C36:D36"/>
  </mergeCells>
  <pageMargins left="0.47" right="0.2" top="0.27" bottom="0.26" header="0.17" footer="0.17"/>
  <pageSetup scale="78" fitToWidth="0" orientation="landscape" r:id="rId1"/>
  <ignoredErrors>
    <ignoredError sqref="H18:H19" formulaRange="1"/>
    <ignoredError sqref="N22 N30 N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13" workbookViewId="0">
      <selection activeCell="U33" sqref="U33"/>
    </sheetView>
  </sheetViews>
  <sheetFormatPr defaultRowHeight="15" x14ac:dyDescent="0.25"/>
  <cols>
    <col min="1" max="1" width="9.85546875" customWidth="1"/>
    <col min="2" max="3" width="3.140625" customWidth="1"/>
    <col min="4" max="4" width="13.85546875" customWidth="1"/>
    <col min="5" max="5" width="14.42578125" customWidth="1"/>
    <col min="7" max="7" width="7.5703125" customWidth="1"/>
    <col min="8" max="8" width="4.85546875" style="52" customWidth="1"/>
    <col min="9" max="9" width="7.5703125" style="52" customWidth="1"/>
    <col min="10" max="10" width="2.140625" customWidth="1"/>
    <col min="11" max="11" width="13.140625" style="52" customWidth="1"/>
    <col min="12" max="12" width="3" style="52" customWidth="1"/>
    <col min="13" max="13" width="2.140625" style="52" customWidth="1"/>
    <col min="14" max="14" width="13.28515625" style="52" customWidth="1"/>
    <col min="15" max="15" width="4.28515625" style="52" customWidth="1"/>
    <col min="16" max="16" width="2.140625" style="52" customWidth="1"/>
    <col min="17" max="17" width="18.42578125" style="52" customWidth="1"/>
    <col min="18" max="18" width="2.140625" style="52" customWidth="1"/>
    <col min="19" max="19" width="9.140625" style="52" customWidth="1"/>
    <col min="20" max="20" width="2.140625" style="52" customWidth="1"/>
  </cols>
  <sheetData>
    <row r="1" spans="1:20" s="5" customFormat="1" x14ac:dyDescent="0.25">
      <c r="A1" s="540" t="s">
        <v>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1" t="s">
        <v>97</v>
      </c>
      <c r="T1" s="53"/>
    </row>
    <row r="2" spans="1:20" s="5" customFormat="1" x14ac:dyDescent="0.25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1" t="s">
        <v>4</v>
      </c>
      <c r="T2" s="53"/>
    </row>
    <row r="3" spans="1:20" s="5" customFormat="1" x14ac:dyDescent="0.25">
      <c r="A3" s="540" t="s">
        <v>2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2"/>
      <c r="T3" s="52"/>
    </row>
    <row r="4" spans="1:20" s="5" customFormat="1" ht="6" customHeight="1" x14ac:dyDescent="0.25">
      <c r="H4" s="51"/>
      <c r="I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s="5" customFormat="1" x14ac:dyDescent="0.25">
      <c r="A5" s="546" t="s">
        <v>3</v>
      </c>
      <c r="B5" s="546"/>
      <c r="C5" s="546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25"/>
      <c r="S5" s="525"/>
      <c r="T5" s="525"/>
    </row>
    <row r="6" spans="1:20" s="5" customFormat="1" ht="6" customHeight="1" x14ac:dyDescent="0.25">
      <c r="H6" s="51"/>
      <c r="I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s="5" customFormat="1" x14ac:dyDescent="0.25">
      <c r="A7" s="438" t="str">
        <f>'Page 1'!A7</f>
        <v>Org ID:</v>
      </c>
      <c r="B7" s="439"/>
      <c r="C7" s="439"/>
      <c r="D7" s="439"/>
      <c r="E7" s="439"/>
      <c r="F7" s="439"/>
      <c r="G7" s="439"/>
      <c r="H7" s="440" t="str">
        <f>'Page 1'!O7</f>
        <v>Sample District</v>
      </c>
      <c r="I7" s="440"/>
      <c r="J7" s="442"/>
      <c r="K7" s="442"/>
      <c r="L7" s="442"/>
      <c r="M7" s="442"/>
      <c r="N7" s="442"/>
      <c r="O7" s="442"/>
      <c r="P7" s="442"/>
      <c r="Q7" s="442"/>
      <c r="R7" s="442"/>
      <c r="S7" s="442" t="str">
        <f>'Page 1'!AQ7</f>
        <v>2020-21</v>
      </c>
      <c r="T7" s="442"/>
    </row>
    <row r="8" spans="1:20" ht="6.75" customHeight="1" x14ac:dyDescent="0.25"/>
    <row r="9" spans="1:20" x14ac:dyDescent="0.25">
      <c r="A9" s="6" t="s">
        <v>98</v>
      </c>
      <c r="B9" s="5" t="s">
        <v>99</v>
      </c>
      <c r="C9" s="5"/>
    </row>
    <row r="10" spans="1:20" ht="30.75" customHeight="1" thickBot="1" x14ac:dyDescent="0.3">
      <c r="A10" s="8" t="s">
        <v>16</v>
      </c>
      <c r="B10" s="5" t="s">
        <v>100</v>
      </c>
      <c r="C10" s="5"/>
      <c r="J10" s="2"/>
      <c r="K10" s="573" t="s">
        <v>102</v>
      </c>
      <c r="L10" s="573"/>
      <c r="M10" s="3"/>
      <c r="N10" s="90" t="s">
        <v>101</v>
      </c>
      <c r="O10" s="2"/>
      <c r="P10" s="3"/>
      <c r="Q10" s="2"/>
    </row>
    <row r="11" spans="1:20" ht="16.5" thickTop="1" thickBot="1" x14ac:dyDescent="0.3">
      <c r="A11" s="69"/>
      <c r="B11" s="56" t="s">
        <v>6</v>
      </c>
      <c r="C11" s="56"/>
      <c r="D11" s="561" t="s">
        <v>300</v>
      </c>
      <c r="E11" s="561"/>
      <c r="F11" s="561"/>
      <c r="G11" s="561"/>
      <c r="H11" s="561"/>
      <c r="I11" s="54"/>
      <c r="J11" s="54"/>
      <c r="K11" s="497">
        <v>0</v>
      </c>
      <c r="L11" s="59"/>
      <c r="M11" s="69" t="s">
        <v>36</v>
      </c>
      <c r="N11" s="91">
        <v>1.022</v>
      </c>
      <c r="O11" s="67"/>
      <c r="P11" s="54" t="s">
        <v>32</v>
      </c>
      <c r="Q11" s="67">
        <f>ROUND(K11*N11,2)</f>
        <v>0</v>
      </c>
      <c r="R11" s="69"/>
      <c r="S11" s="46"/>
      <c r="T11" s="54"/>
    </row>
    <row r="12" spans="1:20" s="34" customFormat="1" ht="16.5" thickTop="1" thickBot="1" x14ac:dyDescent="0.3">
      <c r="A12" s="407"/>
      <c r="B12" s="410" t="s">
        <v>8</v>
      </c>
      <c r="C12" s="410"/>
      <c r="D12" s="562" t="s">
        <v>103</v>
      </c>
      <c r="E12" s="562"/>
      <c r="F12" s="562"/>
      <c r="G12" s="562"/>
      <c r="H12" s="562"/>
      <c r="J12" s="64"/>
      <c r="K12" s="346"/>
      <c r="L12" s="102"/>
      <c r="M12" s="407"/>
      <c r="N12" s="88"/>
      <c r="O12" s="116"/>
      <c r="P12" s="64" t="s">
        <v>32</v>
      </c>
      <c r="Q12" s="498">
        <v>0</v>
      </c>
      <c r="R12" s="407"/>
      <c r="S12" s="48"/>
      <c r="T12" s="64"/>
    </row>
    <row r="13" spans="1:20" ht="16.5" thickTop="1" thickBot="1" x14ac:dyDescent="0.3">
      <c r="A13" s="69"/>
      <c r="B13" s="56" t="s">
        <v>9</v>
      </c>
      <c r="C13" s="56"/>
      <c r="D13" s="561" t="s">
        <v>284</v>
      </c>
      <c r="E13" s="561"/>
      <c r="F13" s="561"/>
      <c r="G13" s="561"/>
      <c r="H13" s="561"/>
      <c r="I13" s="54"/>
      <c r="J13" s="54"/>
      <c r="K13" s="568"/>
      <c r="L13" s="525"/>
      <c r="M13" s="69"/>
      <c r="N13" s="67"/>
      <c r="O13" s="67"/>
      <c r="P13" s="54" t="s">
        <v>32</v>
      </c>
      <c r="Q13" s="497">
        <v>0</v>
      </c>
      <c r="R13" s="69"/>
      <c r="S13" s="46"/>
      <c r="T13" s="54"/>
    </row>
    <row r="14" spans="1:20" s="34" customFormat="1" ht="16.5" thickTop="1" thickBot="1" x14ac:dyDescent="0.3">
      <c r="A14" s="407"/>
      <c r="B14" s="410" t="s">
        <v>21</v>
      </c>
      <c r="C14" s="410"/>
      <c r="D14" s="562" t="s">
        <v>104</v>
      </c>
      <c r="E14" s="562"/>
      <c r="F14" s="562"/>
      <c r="G14" s="562"/>
      <c r="H14" s="562"/>
      <c r="I14" s="64"/>
      <c r="J14" s="64"/>
      <c r="K14" s="412"/>
      <c r="L14" s="407"/>
      <c r="M14" s="407"/>
      <c r="N14" s="116"/>
      <c r="O14" s="116"/>
      <c r="P14" s="64" t="s">
        <v>32</v>
      </c>
      <c r="Q14" s="498">
        <v>0</v>
      </c>
      <c r="R14" s="407"/>
      <c r="S14" s="48"/>
      <c r="T14" s="64"/>
    </row>
    <row r="15" spans="1:20" ht="16.5" thickTop="1" thickBot="1" x14ac:dyDescent="0.3">
      <c r="A15" s="377"/>
      <c r="B15" s="373" t="s">
        <v>23</v>
      </c>
      <c r="C15" s="373"/>
      <c r="D15" s="561" t="s">
        <v>285</v>
      </c>
      <c r="E15" s="561"/>
      <c r="F15" s="561"/>
      <c r="G15" s="561"/>
      <c r="H15" s="561"/>
      <c r="I15" s="386"/>
      <c r="J15" s="368"/>
      <c r="K15" s="568"/>
      <c r="L15" s="569"/>
      <c r="M15" s="377"/>
      <c r="N15" s="67"/>
      <c r="O15" s="67"/>
      <c r="P15" s="368" t="s">
        <v>32</v>
      </c>
      <c r="Q15" s="497">
        <v>0</v>
      </c>
      <c r="R15" s="377"/>
      <c r="S15" s="369"/>
      <c r="T15" s="368"/>
    </row>
    <row r="16" spans="1:20" s="34" customFormat="1" ht="15.75" thickTop="1" x14ac:dyDescent="0.25">
      <c r="A16" s="44"/>
      <c r="D16" s="562"/>
      <c r="E16" s="562"/>
      <c r="F16" s="562"/>
      <c r="G16" s="562"/>
      <c r="H16" s="562"/>
      <c r="I16" s="64"/>
      <c r="J16" s="64"/>
      <c r="K16" s="582" t="s">
        <v>105</v>
      </c>
      <c r="L16" s="523"/>
      <c r="M16" s="523"/>
      <c r="N16" s="523"/>
      <c r="O16" s="523"/>
      <c r="P16" s="64" t="s">
        <v>32</v>
      </c>
      <c r="Q16" s="298">
        <f>SUM(Q11:Q15)</f>
        <v>0</v>
      </c>
      <c r="R16" s="44"/>
      <c r="S16" s="48"/>
      <c r="T16" s="64"/>
    </row>
    <row r="17" spans="1:20" s="34" customFormat="1" ht="15.75" thickBot="1" x14ac:dyDescent="0.3">
      <c r="A17" s="44"/>
      <c r="D17" s="297"/>
      <c r="E17" s="297"/>
      <c r="F17" s="297"/>
      <c r="G17" s="297"/>
      <c r="H17" s="297"/>
      <c r="I17" s="64"/>
      <c r="J17" s="64"/>
      <c r="K17" s="296"/>
      <c r="L17" s="294"/>
      <c r="M17" s="294"/>
      <c r="N17" s="294"/>
      <c r="O17" s="294"/>
      <c r="P17" s="64"/>
      <c r="Q17" s="298"/>
      <c r="R17" s="44"/>
      <c r="S17" s="48"/>
      <c r="T17" s="64"/>
    </row>
    <row r="18" spans="1:20" s="34" customFormat="1" ht="16.5" thickTop="1" thickBot="1" x14ac:dyDescent="0.3">
      <c r="A18" s="296" t="s">
        <v>17</v>
      </c>
      <c r="B18" s="300" t="s">
        <v>215</v>
      </c>
      <c r="D18" s="299"/>
      <c r="E18" s="187"/>
      <c r="F18" s="187"/>
      <c r="G18" s="187"/>
      <c r="I18" s="64"/>
      <c r="J18" s="64"/>
      <c r="K18" s="186"/>
      <c r="L18" s="180"/>
      <c r="M18" s="180"/>
      <c r="N18" s="180"/>
      <c r="O18" s="180"/>
      <c r="P18" s="64"/>
      <c r="Q18" s="499">
        <v>0</v>
      </c>
      <c r="R18" s="44"/>
      <c r="S18" s="48"/>
      <c r="T18" s="64"/>
    </row>
    <row r="19" spans="1:20" s="34" customFormat="1" ht="9" customHeight="1" thickTop="1" x14ac:dyDescent="0.25">
      <c r="A19" s="44"/>
      <c r="D19" s="55"/>
      <c r="E19" s="55"/>
      <c r="F19" s="55"/>
      <c r="G19" s="55"/>
      <c r="H19" s="55"/>
      <c r="I19" s="64"/>
      <c r="J19" s="64"/>
      <c r="K19" s="86"/>
      <c r="L19" s="53"/>
      <c r="M19" s="53"/>
      <c r="N19" s="53"/>
      <c r="O19" s="53"/>
      <c r="P19" s="64"/>
      <c r="Q19" s="94"/>
      <c r="R19" s="44"/>
      <c r="S19" s="48"/>
      <c r="T19" s="64"/>
    </row>
    <row r="20" spans="1:20" ht="15" customHeight="1" x14ac:dyDescent="0.25">
      <c r="A20" s="57"/>
      <c r="B20" s="57"/>
      <c r="C20" s="57"/>
      <c r="E20" s="60"/>
      <c r="F20" s="52"/>
      <c r="G20" s="13"/>
      <c r="H20" s="60"/>
      <c r="I20" s="60"/>
      <c r="J20" s="13"/>
      <c r="K20" s="60"/>
      <c r="M20" s="13"/>
      <c r="O20" s="8" t="s">
        <v>216</v>
      </c>
      <c r="P20" s="13" t="s">
        <v>32</v>
      </c>
      <c r="Q20" s="293">
        <f>'Page 2'!Q50+'Page 3'!Q16+Q18</f>
        <v>14736305.449999999</v>
      </c>
      <c r="S20" s="20"/>
      <c r="T20" s="13"/>
    </row>
    <row r="21" spans="1:20" ht="15" customHeight="1" x14ac:dyDescent="0.25">
      <c r="A21" s="57"/>
      <c r="B21" s="57"/>
      <c r="C21" s="57"/>
      <c r="E21" s="60"/>
      <c r="F21" s="52"/>
      <c r="G21" s="13"/>
      <c r="H21" s="60"/>
      <c r="I21" s="60"/>
      <c r="J21" s="13"/>
      <c r="K21" s="60"/>
      <c r="M21" s="13"/>
      <c r="P21" s="13"/>
      <c r="S21" s="20"/>
      <c r="T21" s="13"/>
    </row>
    <row r="22" spans="1:20" s="5" customFormat="1" x14ac:dyDescent="0.25">
      <c r="A22" s="8" t="s">
        <v>42</v>
      </c>
      <c r="B22" s="564" t="s">
        <v>106</v>
      </c>
      <c r="C22" s="564"/>
      <c r="D22" s="564"/>
      <c r="E22" s="523"/>
      <c r="H22" s="540"/>
      <c r="I22" s="540"/>
      <c r="K22" s="524"/>
      <c r="L22" s="525"/>
      <c r="M22" s="51"/>
      <c r="N22" s="524"/>
      <c r="O22" s="524"/>
      <c r="P22" s="51"/>
      <c r="Q22" s="58"/>
      <c r="R22" s="51"/>
      <c r="S22" s="51"/>
      <c r="T22" s="51"/>
    </row>
    <row r="23" spans="1:20" ht="15.75" thickBot="1" x14ac:dyDescent="0.3">
      <c r="A23" s="24"/>
      <c r="B23" s="56" t="s">
        <v>6</v>
      </c>
      <c r="C23" s="56"/>
      <c r="D23" s="41" t="s">
        <v>114</v>
      </c>
      <c r="E23" s="41" t="s">
        <v>113</v>
      </c>
      <c r="F23" s="575" t="s">
        <v>110</v>
      </c>
      <c r="G23" s="575"/>
      <c r="H23" s="575"/>
      <c r="I23" s="575"/>
      <c r="J23" s="69"/>
      <c r="K23" s="97" t="s">
        <v>108</v>
      </c>
      <c r="L23" s="98"/>
      <c r="M23" s="41"/>
      <c r="N23" s="99" t="s">
        <v>107</v>
      </c>
      <c r="O23" s="99"/>
      <c r="P23" s="100"/>
      <c r="Q23" s="99" t="s">
        <v>12</v>
      </c>
      <c r="R23" s="69"/>
      <c r="S23" s="69"/>
      <c r="T23" s="69"/>
    </row>
    <row r="24" spans="1:20" ht="16.5" thickTop="1" thickBot="1" x14ac:dyDescent="0.3">
      <c r="B24" s="57"/>
      <c r="C24" s="57"/>
      <c r="D24" s="500" t="s">
        <v>302</v>
      </c>
      <c r="E24" s="501">
        <v>44044</v>
      </c>
      <c r="F24" s="574" t="s">
        <v>303</v>
      </c>
      <c r="G24" s="574"/>
      <c r="H24" s="574"/>
      <c r="I24" s="574"/>
      <c r="J24" s="52"/>
      <c r="K24" s="496">
        <v>776610</v>
      </c>
      <c r="L24" s="61"/>
      <c r="M24" s="13" t="s">
        <v>31</v>
      </c>
      <c r="N24" s="496">
        <v>193272.44</v>
      </c>
      <c r="O24" s="68"/>
      <c r="P24" s="13" t="s">
        <v>32</v>
      </c>
      <c r="Q24" s="496">
        <f>K24+N24</f>
        <v>969882.44</v>
      </c>
    </row>
    <row r="25" spans="1:20" ht="16.5" thickTop="1" thickBot="1" x14ac:dyDescent="0.3">
      <c r="A25" s="24"/>
      <c r="B25" s="56"/>
      <c r="C25" s="56"/>
      <c r="D25" s="502"/>
      <c r="E25" s="503">
        <v>44228</v>
      </c>
      <c r="F25" s="583" t="s">
        <v>303</v>
      </c>
      <c r="G25" s="583"/>
      <c r="H25" s="583"/>
      <c r="I25" s="583"/>
      <c r="J25" s="69"/>
      <c r="K25" s="505">
        <v>0</v>
      </c>
      <c r="L25" s="59"/>
      <c r="M25" s="324" t="s">
        <v>31</v>
      </c>
      <c r="N25" s="505">
        <v>175798.72</v>
      </c>
      <c r="O25" s="67"/>
      <c r="P25" s="324" t="s">
        <v>32</v>
      </c>
      <c r="Q25" s="505">
        <f>K25+N25</f>
        <v>175798.72</v>
      </c>
      <c r="R25" s="69"/>
      <c r="S25" s="69"/>
      <c r="T25" s="69"/>
    </row>
    <row r="26" spans="1:20" ht="16.5" thickTop="1" thickBot="1" x14ac:dyDescent="0.3">
      <c r="B26" s="285"/>
      <c r="C26" s="295"/>
      <c r="D26" s="500" t="s">
        <v>301</v>
      </c>
      <c r="E26" s="501">
        <v>44136</v>
      </c>
      <c r="F26" s="574" t="s">
        <v>307</v>
      </c>
      <c r="G26" s="574"/>
      <c r="H26" s="574"/>
      <c r="I26" s="574"/>
      <c r="J26" s="284"/>
      <c r="K26" s="496">
        <v>2958962.5</v>
      </c>
      <c r="L26" s="61"/>
      <c r="M26" s="13" t="s">
        <v>31</v>
      </c>
      <c r="N26" s="496">
        <v>1322791.76</v>
      </c>
      <c r="O26" s="68"/>
      <c r="P26" s="13" t="s">
        <v>32</v>
      </c>
      <c r="Q26" s="496">
        <f>K26+N26</f>
        <v>4281754.26</v>
      </c>
      <c r="R26" s="284"/>
      <c r="S26" s="284"/>
      <c r="T26" s="284"/>
    </row>
    <row r="27" spans="1:20" ht="16.5" thickTop="1" thickBot="1" x14ac:dyDescent="0.3">
      <c r="A27" s="24"/>
      <c r="B27" s="329"/>
      <c r="C27" s="329"/>
      <c r="D27" s="504"/>
      <c r="E27" s="503">
        <v>44317</v>
      </c>
      <c r="F27" s="502" t="s">
        <v>307</v>
      </c>
      <c r="G27" s="502"/>
      <c r="H27" s="502"/>
      <c r="I27" s="502"/>
      <c r="J27" s="69"/>
      <c r="K27" s="505">
        <v>0</v>
      </c>
      <c r="L27" s="220"/>
      <c r="M27" s="324" t="s">
        <v>31</v>
      </c>
      <c r="N27" s="505">
        <v>1248817.7</v>
      </c>
      <c r="O27" s="67"/>
      <c r="P27" s="324" t="s">
        <v>32</v>
      </c>
      <c r="Q27" s="505">
        <f>K27+N27</f>
        <v>1248817.7</v>
      </c>
      <c r="R27" s="69"/>
      <c r="S27" s="69"/>
      <c r="T27" s="69"/>
    </row>
    <row r="28" spans="1:20" ht="16.5" thickTop="1" thickBot="1" x14ac:dyDescent="0.3">
      <c r="B28" s="330"/>
      <c r="C28" s="330"/>
      <c r="D28" s="500"/>
      <c r="E28" s="501"/>
      <c r="F28" s="576"/>
      <c r="G28" s="577"/>
      <c r="H28" s="577"/>
      <c r="I28" s="578"/>
      <c r="J28" s="322"/>
      <c r="K28" s="496"/>
      <c r="L28" s="61"/>
      <c r="M28" s="13" t="s">
        <v>31</v>
      </c>
      <c r="N28" s="496"/>
      <c r="O28" s="68"/>
      <c r="P28" s="13" t="s">
        <v>32</v>
      </c>
      <c r="Q28" s="496">
        <f>K28+N28</f>
        <v>0</v>
      </c>
      <c r="R28" s="322"/>
      <c r="S28" s="322"/>
      <c r="T28" s="322"/>
    </row>
    <row r="29" spans="1:20" ht="16.5" thickTop="1" thickBot="1" x14ac:dyDescent="0.3">
      <c r="A29" s="24"/>
      <c r="B29" s="329"/>
      <c r="C29" s="329"/>
      <c r="D29" s="504"/>
      <c r="E29" s="503"/>
      <c r="F29" s="579"/>
      <c r="G29" s="580"/>
      <c r="H29" s="580"/>
      <c r="I29" s="581"/>
      <c r="J29" s="69"/>
      <c r="K29" s="505"/>
      <c r="L29" s="220"/>
      <c r="M29" s="324"/>
      <c r="N29" s="505"/>
      <c r="O29" s="67"/>
      <c r="P29" s="324"/>
      <c r="Q29" s="505"/>
      <c r="R29" s="69"/>
      <c r="S29" s="69"/>
      <c r="T29" s="69"/>
    </row>
    <row r="30" spans="1:20" ht="9" customHeight="1" thickTop="1" x14ac:dyDescent="0.25">
      <c r="A30" s="110"/>
      <c r="B30" s="78"/>
      <c r="C30" s="78"/>
      <c r="D30" s="109"/>
      <c r="E30" s="108"/>
      <c r="F30" s="110"/>
      <c r="G30" s="110"/>
      <c r="H30" s="110"/>
      <c r="I30" s="110"/>
      <c r="J30" s="77"/>
      <c r="K30" s="68"/>
      <c r="L30" s="77"/>
      <c r="M30" s="13"/>
      <c r="N30" s="68"/>
      <c r="O30" s="74"/>
      <c r="P30" s="13"/>
      <c r="Q30" s="111"/>
      <c r="R30" s="77"/>
      <c r="S30" s="77"/>
      <c r="T30" s="77"/>
    </row>
    <row r="31" spans="1:20" x14ac:dyDescent="0.25">
      <c r="A31" s="32"/>
      <c r="B31" s="56" t="s">
        <v>8</v>
      </c>
      <c r="C31" s="158" t="s">
        <v>115</v>
      </c>
      <c r="D31" s="69"/>
      <c r="E31" s="96"/>
      <c r="F31" s="32"/>
      <c r="G31" s="32"/>
      <c r="H31" s="81"/>
      <c r="I31" s="71"/>
      <c r="J31" s="69"/>
      <c r="K31" s="286">
        <f>SUM(K24:K30)</f>
        <v>3735572.5</v>
      </c>
      <c r="L31" s="59"/>
      <c r="M31" s="69"/>
      <c r="N31" s="286">
        <f>SUM(N24:N30)</f>
        <v>2940680.62</v>
      </c>
      <c r="O31" s="73"/>
      <c r="P31" s="54"/>
      <c r="Q31" s="286">
        <f>SUM(Q24:Q29)</f>
        <v>6676253.1200000001</v>
      </c>
      <c r="R31" s="69"/>
      <c r="S31" s="69"/>
      <c r="T31" s="69"/>
    </row>
    <row r="32" spans="1:20" s="34" customFormat="1" ht="9" customHeight="1" thickBot="1" x14ac:dyDescent="0.3">
      <c r="A32" s="113"/>
      <c r="B32" s="92"/>
      <c r="C32" s="114"/>
      <c r="D32" s="44"/>
      <c r="E32" s="114"/>
      <c r="F32" s="113"/>
      <c r="G32" s="113"/>
      <c r="H32" s="115"/>
      <c r="I32" s="103"/>
      <c r="J32" s="44"/>
      <c r="K32" s="92"/>
      <c r="L32" s="45"/>
      <c r="M32" s="44"/>
      <c r="N32" s="116"/>
      <c r="O32" s="117"/>
      <c r="P32" s="64"/>
      <c r="Q32" s="116"/>
      <c r="R32" s="44"/>
      <c r="S32" s="44"/>
      <c r="T32" s="44"/>
    </row>
    <row r="33" spans="1:20" ht="16.5" thickTop="1" thickBot="1" x14ac:dyDescent="0.3">
      <c r="A33" s="20"/>
      <c r="B33" s="57" t="s">
        <v>9</v>
      </c>
      <c r="C33" s="108" t="s">
        <v>312</v>
      </c>
      <c r="D33" s="52"/>
      <c r="E33" s="108"/>
      <c r="G33" s="218" t="str">
        <f>'Page 1'!O7</f>
        <v>Sample District</v>
      </c>
      <c r="H33" s="82"/>
      <c r="I33" s="72"/>
      <c r="J33" s="52"/>
      <c r="K33" s="57"/>
      <c r="N33" s="68"/>
      <c r="O33" s="74"/>
      <c r="P33" s="13"/>
      <c r="Q33" s="496">
        <v>0</v>
      </c>
    </row>
    <row r="34" spans="1:20" ht="16.5" thickTop="1" thickBot="1" x14ac:dyDescent="0.3">
      <c r="A34" s="32"/>
      <c r="B34" s="56" t="s">
        <v>21</v>
      </c>
      <c r="C34" s="96" t="s">
        <v>313</v>
      </c>
      <c r="D34" s="69"/>
      <c r="E34" s="96"/>
      <c r="F34" s="32"/>
      <c r="G34" s="173" t="str">
        <f>'Page 1'!O7</f>
        <v>Sample District</v>
      </c>
      <c r="H34" s="81"/>
      <c r="I34" s="71"/>
      <c r="J34" s="69"/>
      <c r="K34" s="73"/>
      <c r="L34" s="59"/>
      <c r="M34" s="69"/>
      <c r="N34" s="67"/>
      <c r="O34" s="73"/>
      <c r="P34" s="54"/>
      <c r="Q34" s="505">
        <v>0</v>
      </c>
      <c r="R34" s="69"/>
      <c r="S34" s="69"/>
      <c r="T34" s="69"/>
    </row>
    <row r="35" spans="1:20" s="37" customFormat="1" ht="16.5" thickTop="1" thickBot="1" x14ac:dyDescent="0.3">
      <c r="A35" s="36"/>
      <c r="B35" s="36" t="s">
        <v>23</v>
      </c>
      <c r="C35" s="112" t="s">
        <v>314</v>
      </c>
      <c r="G35" s="301" t="str">
        <f>G34</f>
        <v>Sample District</v>
      </c>
      <c r="Q35" s="496">
        <v>0</v>
      </c>
    </row>
    <row r="36" spans="1:20" ht="11.25" customHeight="1" thickTop="1" x14ac:dyDescent="0.25">
      <c r="F36" s="52"/>
      <c r="G36" s="52"/>
    </row>
    <row r="37" spans="1:20" x14ac:dyDescent="0.25">
      <c r="A37" s="40"/>
      <c r="B37" s="40"/>
      <c r="C37" s="40"/>
      <c r="D37" s="69"/>
      <c r="E37" s="24"/>
      <c r="F37" s="69"/>
      <c r="G37" s="69"/>
      <c r="H37" s="69"/>
      <c r="I37" s="69"/>
      <c r="J37" s="24"/>
      <c r="K37" s="69"/>
      <c r="L37" s="69"/>
      <c r="M37" s="69"/>
      <c r="N37" s="69"/>
      <c r="O37" s="85" t="s">
        <v>109</v>
      </c>
      <c r="P37" s="54" t="s">
        <v>32</v>
      </c>
      <c r="Q37" s="286">
        <f>SUM(Q31:Q36)</f>
        <v>6676253.1200000001</v>
      </c>
      <c r="R37" s="69"/>
      <c r="S37" s="69"/>
      <c r="T37" s="69"/>
    </row>
    <row r="38" spans="1:20" s="34" customFormat="1" x14ac:dyDescent="0.25">
      <c r="B38" s="84"/>
      <c r="C38" s="84"/>
      <c r="F38" s="44"/>
      <c r="G38" s="44"/>
      <c r="H38" s="44"/>
      <c r="I38" s="44"/>
      <c r="K38" s="44"/>
      <c r="L38" s="44"/>
      <c r="M38" s="44"/>
      <c r="N38" s="44"/>
      <c r="O38" s="44"/>
      <c r="P38" s="44"/>
      <c r="Q38" s="88"/>
      <c r="R38" s="44"/>
      <c r="S38" s="44"/>
      <c r="T38" s="44"/>
    </row>
    <row r="39" spans="1:20" x14ac:dyDescent="0.25">
      <c r="A39" s="87" t="s">
        <v>98</v>
      </c>
      <c r="B39" s="12" t="s">
        <v>219</v>
      </c>
      <c r="C39" s="12"/>
      <c r="D39" s="17"/>
      <c r="E39" s="17"/>
      <c r="F39" s="17"/>
      <c r="G39" s="17"/>
      <c r="H39" s="43"/>
      <c r="I39" s="43"/>
      <c r="J39" s="17"/>
      <c r="K39" s="43"/>
      <c r="L39" s="43"/>
      <c r="M39" s="43"/>
      <c r="N39" s="43"/>
      <c r="O39" s="43"/>
      <c r="P39" s="18" t="s">
        <v>32</v>
      </c>
      <c r="Q39" s="365">
        <f>Q37+Q20</f>
        <v>21412558.57</v>
      </c>
      <c r="R39" s="43"/>
      <c r="S39" s="43"/>
      <c r="T39" s="43"/>
    </row>
  </sheetData>
  <mergeCells count="24">
    <mergeCell ref="F28:I28"/>
    <mergeCell ref="F29:I29"/>
    <mergeCell ref="D11:H11"/>
    <mergeCell ref="D13:H13"/>
    <mergeCell ref="K22:L22"/>
    <mergeCell ref="B22:E22"/>
    <mergeCell ref="H22:I22"/>
    <mergeCell ref="K16:O16"/>
    <mergeCell ref="F25:I25"/>
    <mergeCell ref="D15:H15"/>
    <mergeCell ref="A1:R1"/>
    <mergeCell ref="A2:R2"/>
    <mergeCell ref="A3:R3"/>
    <mergeCell ref="A5:T5"/>
    <mergeCell ref="N22:O22"/>
    <mergeCell ref="K13:L13"/>
    <mergeCell ref="D14:H14"/>
    <mergeCell ref="K15:L15"/>
    <mergeCell ref="K10:L10"/>
    <mergeCell ref="D12:H12"/>
    <mergeCell ref="D16:H16"/>
    <mergeCell ref="F26:I26"/>
    <mergeCell ref="F23:I23"/>
    <mergeCell ref="F24:I24"/>
  </mergeCells>
  <pageMargins left="0.47" right="0.2" top="0.27" bottom="0.26" header="0.17" footer="0.17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workbookViewId="0">
      <selection activeCell="R44" sqref="R44"/>
    </sheetView>
  </sheetViews>
  <sheetFormatPr defaultRowHeight="15" x14ac:dyDescent="0.25"/>
  <cols>
    <col min="1" max="1" width="9.5703125" customWidth="1"/>
    <col min="2" max="2" width="3.140625" customWidth="1"/>
    <col min="3" max="3" width="16.85546875" customWidth="1"/>
    <col min="4" max="4" width="2.140625" customWidth="1"/>
    <col min="5" max="5" width="16.140625" customWidth="1"/>
    <col min="6" max="6" width="3" customWidth="1"/>
    <col min="7" max="7" width="11.42578125" style="77" customWidth="1"/>
    <col min="8" max="8" width="2.140625" customWidth="1"/>
    <col min="9" max="9" width="16.28515625" style="77" customWidth="1"/>
    <col min="10" max="10" width="2.7109375" style="77" customWidth="1"/>
    <col min="11" max="11" width="14.5703125" style="77" customWidth="1"/>
    <col min="12" max="12" width="1.5703125" style="77" customWidth="1"/>
    <col min="13" max="13" width="10.140625" style="77" customWidth="1"/>
    <col min="14" max="14" width="2.28515625" style="170" customWidth="1"/>
    <col min="15" max="15" width="2.140625" style="77" customWidth="1"/>
    <col min="16" max="16" width="17.7109375" style="77" customWidth="1"/>
    <col min="17" max="17" width="2.140625" style="77" customWidth="1"/>
    <col min="18" max="18" width="10" style="77" customWidth="1"/>
    <col min="19" max="19" width="10.140625" bestFit="1" customWidth="1"/>
  </cols>
  <sheetData>
    <row r="1" spans="1:24" s="89" customFormat="1" ht="12" customHeight="1" x14ac:dyDescent="0.25">
      <c r="A1" s="540" t="s">
        <v>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76" t="s">
        <v>116</v>
      </c>
    </row>
    <row r="2" spans="1:24" s="89" customFormat="1" ht="12" customHeight="1" x14ac:dyDescent="0.25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76" t="s">
        <v>4</v>
      </c>
    </row>
    <row r="3" spans="1:24" s="89" customFormat="1" ht="12" customHeight="1" x14ac:dyDescent="0.25">
      <c r="A3" s="540" t="s">
        <v>2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77"/>
    </row>
    <row r="4" spans="1:24" s="89" customFormat="1" ht="6" customHeight="1" x14ac:dyDescent="0.25">
      <c r="G4" s="76"/>
      <c r="I4" s="76"/>
      <c r="J4" s="76"/>
      <c r="K4" s="76"/>
      <c r="L4" s="76"/>
      <c r="M4" s="76"/>
      <c r="N4" s="171"/>
      <c r="O4" s="76"/>
      <c r="P4" s="76"/>
      <c r="Q4" s="76"/>
      <c r="R4" s="76"/>
    </row>
    <row r="5" spans="1:24" s="89" customFormat="1" ht="12" customHeight="1" x14ac:dyDescent="0.25">
      <c r="A5" s="546" t="s">
        <v>3</v>
      </c>
      <c r="B5" s="546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25"/>
      <c r="R5" s="525"/>
    </row>
    <row r="6" spans="1:24" s="89" customFormat="1" ht="3.75" customHeight="1" x14ac:dyDescent="0.25">
      <c r="G6" s="76"/>
      <c r="I6" s="76"/>
      <c r="J6" s="76"/>
      <c r="K6" s="76"/>
      <c r="L6" s="76"/>
      <c r="M6" s="76"/>
      <c r="N6" s="171"/>
      <c r="O6" s="76"/>
      <c r="P6" s="76"/>
      <c r="Q6" s="76"/>
      <c r="R6" s="76"/>
    </row>
    <row r="7" spans="1:24" s="89" customFormat="1" ht="12" customHeight="1" x14ac:dyDescent="0.25">
      <c r="A7" s="438" t="str">
        <f>'Page 1'!A7</f>
        <v>Org ID:</v>
      </c>
      <c r="B7" s="439"/>
      <c r="C7" s="439"/>
      <c r="D7" s="439"/>
      <c r="E7" s="439"/>
      <c r="F7" s="587" t="str">
        <f>'Page 1'!O7</f>
        <v>Sample District</v>
      </c>
      <c r="G7" s="587"/>
      <c r="H7" s="587"/>
      <c r="I7" s="587"/>
      <c r="J7" s="587"/>
      <c r="K7" s="587"/>
      <c r="L7" s="442"/>
      <c r="M7" s="442"/>
      <c r="N7" s="442"/>
      <c r="O7" s="442"/>
      <c r="P7" s="442"/>
      <c r="Q7" s="442"/>
      <c r="R7" s="442" t="str">
        <f>'Page 1'!AQ7</f>
        <v>2020-21</v>
      </c>
    </row>
    <row r="8" spans="1:24" ht="4.5" customHeight="1" x14ac:dyDescent="0.25"/>
    <row r="9" spans="1:24" ht="12" customHeight="1" x14ac:dyDescent="0.25">
      <c r="A9" s="6" t="s">
        <v>117</v>
      </c>
      <c r="B9" s="89" t="s">
        <v>118</v>
      </c>
    </row>
    <row r="10" spans="1:24" ht="3.75" customHeight="1" x14ac:dyDescent="0.25">
      <c r="A10" s="6"/>
      <c r="B10" s="89"/>
    </row>
    <row r="11" spans="1:24" s="235" customFormat="1" ht="12" customHeight="1" x14ac:dyDescent="0.2">
      <c r="A11" s="233" t="s">
        <v>16</v>
      </c>
      <c r="B11" s="234" t="s">
        <v>121</v>
      </c>
      <c r="G11" s="236"/>
      <c r="H11" s="237"/>
      <c r="I11" s="238"/>
      <c r="J11" s="238"/>
      <c r="K11" s="237"/>
      <c r="L11" s="237"/>
      <c r="M11" s="237"/>
      <c r="N11" s="237"/>
      <c r="O11" s="238"/>
      <c r="P11" s="237"/>
      <c r="Q11" s="236"/>
      <c r="R11" s="236"/>
    </row>
    <row r="12" spans="1:24" s="223" customFormat="1" ht="36.75" thickBot="1" x14ac:dyDescent="0.25">
      <c r="A12" s="221"/>
      <c r="B12" s="221"/>
      <c r="C12" s="222" t="s">
        <v>119</v>
      </c>
      <c r="E12" s="422" t="s">
        <v>286</v>
      </c>
      <c r="G12" s="225" t="s">
        <v>120</v>
      </c>
      <c r="H12" s="224"/>
      <c r="I12" s="290" t="s">
        <v>220</v>
      </c>
      <c r="J12" s="225"/>
      <c r="K12" s="224" t="s">
        <v>122</v>
      </c>
      <c r="L12" s="224"/>
      <c r="M12" s="224"/>
      <c r="N12" s="224"/>
      <c r="O12" s="225"/>
      <c r="P12" s="585" t="s">
        <v>125</v>
      </c>
      <c r="Q12" s="585"/>
      <c r="R12" s="226"/>
      <c r="T12" s="586"/>
      <c r="U12" s="586"/>
      <c r="V12" s="262"/>
      <c r="W12" s="262"/>
    </row>
    <row r="13" spans="1:24" ht="16.5" thickTop="1" thickBot="1" x14ac:dyDescent="0.3">
      <c r="A13" s="24"/>
      <c r="B13" s="309" t="s">
        <v>6</v>
      </c>
      <c r="C13" s="321" t="s">
        <v>304</v>
      </c>
      <c r="D13" s="219"/>
      <c r="E13" s="507">
        <v>33.5</v>
      </c>
      <c r="F13" s="308"/>
      <c r="G13" s="302">
        <f>IF(E13&gt;0,ROUND(E13/$E$23,5),0)</f>
        <v>2.623E-2</v>
      </c>
      <c r="H13" s="308"/>
      <c r="I13" s="250">
        <f>ROUND(G13*'Page 3'!$Q$20,2)</f>
        <v>386533.29</v>
      </c>
      <c r="J13" s="308" t="s">
        <v>31</v>
      </c>
      <c r="K13" s="250">
        <f>ROUND(('Page 3'!$Q$26+'Page 3'!$Q$27)*'Page 4'!G13,2)</f>
        <v>145066.9</v>
      </c>
      <c r="L13" s="310"/>
      <c r="M13" s="310"/>
      <c r="N13" s="310"/>
      <c r="O13" s="308" t="s">
        <v>32</v>
      </c>
      <c r="P13" s="107">
        <f>I13+K13</f>
        <v>531600.18999999994</v>
      </c>
      <c r="Q13" s="69"/>
      <c r="R13" s="69"/>
      <c r="T13" s="214"/>
      <c r="U13" s="428"/>
      <c r="W13" s="214"/>
      <c r="X13" s="304"/>
    </row>
    <row r="14" spans="1:24" ht="16.5" thickTop="1" thickBot="1" x14ac:dyDescent="0.3">
      <c r="B14" s="385" t="s">
        <v>8</v>
      </c>
      <c r="C14" s="394" t="s">
        <v>305</v>
      </c>
      <c r="D14" s="395"/>
      <c r="E14" s="508">
        <v>1049</v>
      </c>
      <c r="F14" s="63"/>
      <c r="G14" s="396">
        <f t="shared" ref="G14:G22" si="0">IF(E14&gt;0,ROUND(E14/$E$23,5),0)</f>
        <v>0.82145999999999997</v>
      </c>
      <c r="H14" s="64"/>
      <c r="I14" s="251">
        <f>ROUND(G14*'Page 3'!$Q$20,2)</f>
        <v>12105285.470000001</v>
      </c>
      <c r="J14" s="64" t="s">
        <v>31</v>
      </c>
      <c r="K14" s="251">
        <f>ROUND(('Page 3'!$Q$26+'Page 3'!$Q$27)*'Page 4'!G14,2)</f>
        <v>4543143.6399999997</v>
      </c>
      <c r="L14" s="397"/>
      <c r="M14" s="397"/>
      <c r="N14" s="398"/>
      <c r="O14" s="13" t="s">
        <v>32</v>
      </c>
      <c r="P14" s="399">
        <f>I14+K14</f>
        <v>16648429.109999999</v>
      </c>
      <c r="Q14" s="381"/>
      <c r="R14" s="381"/>
      <c r="T14" s="214"/>
      <c r="U14" s="434"/>
      <c r="V14" s="304"/>
      <c r="X14" s="304"/>
    </row>
    <row r="15" spans="1:24" ht="16.5" thickTop="1" thickBot="1" x14ac:dyDescent="0.3">
      <c r="A15" s="24"/>
      <c r="B15" s="449" t="s">
        <v>9</v>
      </c>
      <c r="C15" s="321" t="s">
        <v>306</v>
      </c>
      <c r="D15" s="219"/>
      <c r="E15" s="507">
        <v>194.5</v>
      </c>
      <c r="F15" s="408"/>
      <c r="G15" s="302">
        <f t="shared" si="0"/>
        <v>0.15231</v>
      </c>
      <c r="H15" s="408"/>
      <c r="I15" s="250">
        <f>ROUND(G15*'Page 3'!$Q$20,2)</f>
        <v>2244486.6800000002</v>
      </c>
      <c r="J15" s="408" t="s">
        <v>31</v>
      </c>
      <c r="K15" s="250">
        <f>ROUND(('Page 3'!$Q$26+'Page 3'!$Q$27)*'Page 4'!G15,2)</f>
        <v>842361.42</v>
      </c>
      <c r="L15" s="451"/>
      <c r="M15" s="451"/>
      <c r="N15" s="451"/>
      <c r="O15" s="408" t="s">
        <v>32</v>
      </c>
      <c r="P15" s="107">
        <f>I15+K15</f>
        <v>3086848.1</v>
      </c>
      <c r="Q15" s="452"/>
      <c r="R15" s="452"/>
      <c r="T15" s="214"/>
      <c r="U15" s="434"/>
      <c r="W15" s="214"/>
      <c r="X15" s="434"/>
    </row>
    <row r="16" spans="1:24" s="34" customFormat="1" ht="16.5" thickTop="1" thickBot="1" x14ac:dyDescent="0.3">
      <c r="B16" s="448" t="s">
        <v>21</v>
      </c>
      <c r="C16" s="457"/>
      <c r="D16" s="458"/>
      <c r="E16" s="508"/>
      <c r="F16" s="64"/>
      <c r="G16" s="396">
        <f t="shared" si="0"/>
        <v>0</v>
      </c>
      <c r="H16" s="64"/>
      <c r="I16" s="251">
        <f>ROUNDUP(G16*'Page 3'!$Q$20,2)</f>
        <v>0</v>
      </c>
      <c r="J16" s="64" t="s">
        <v>31</v>
      </c>
      <c r="K16" s="251">
        <f>ROUND(('Page 3'!$Q$26+'Page 3'!$Q$27)*'Page 4'!G16,2)</f>
        <v>0</v>
      </c>
      <c r="L16" s="450"/>
      <c r="M16" s="450"/>
      <c r="N16" s="450"/>
      <c r="O16" s="64" t="s">
        <v>32</v>
      </c>
      <c r="P16" s="119">
        <f>I16+K16</f>
        <v>0</v>
      </c>
      <c r="Q16" s="445"/>
      <c r="R16" s="445"/>
      <c r="T16" s="303"/>
      <c r="U16" s="305"/>
      <c r="W16" s="303"/>
      <c r="X16" s="305"/>
    </row>
    <row r="17" spans="1:24" s="34" customFormat="1" ht="16.5" thickTop="1" thickBot="1" x14ac:dyDescent="0.3">
      <c r="A17" s="24"/>
      <c r="B17" s="517" t="s">
        <v>23</v>
      </c>
      <c r="C17" s="321"/>
      <c r="D17" s="219"/>
      <c r="E17" s="507">
        <v>0</v>
      </c>
      <c r="F17" s="408"/>
      <c r="G17" s="302">
        <f t="shared" si="0"/>
        <v>0</v>
      </c>
      <c r="H17" s="408"/>
      <c r="I17" s="250">
        <f>ROUNDUP(G17*'Page 3'!$Q$20,2)</f>
        <v>0</v>
      </c>
      <c r="J17" s="408" t="s">
        <v>31</v>
      </c>
      <c r="K17" s="250">
        <f>ROUND(('Page 3'!$Q$26+'Page 3'!$Q$27)*'Page 4'!G17,2)</f>
        <v>0</v>
      </c>
      <c r="L17" s="520"/>
      <c r="M17" s="520"/>
      <c r="N17" s="520"/>
      <c r="O17" s="408" t="s">
        <v>32</v>
      </c>
      <c r="P17" s="107">
        <f t="shared" ref="P17:P22" si="1">I17+K17</f>
        <v>0</v>
      </c>
      <c r="Q17" s="521"/>
      <c r="R17" s="521"/>
      <c r="T17" s="303"/>
      <c r="U17" s="305"/>
      <c r="W17" s="303"/>
      <c r="X17" s="305"/>
    </row>
    <row r="18" spans="1:24" s="34" customFormat="1" ht="16.5" thickTop="1" thickBot="1" x14ac:dyDescent="0.3">
      <c r="B18" s="516" t="s">
        <v>25</v>
      </c>
      <c r="C18" s="457"/>
      <c r="D18" s="458"/>
      <c r="E18" s="508">
        <v>0</v>
      </c>
      <c r="F18" s="64"/>
      <c r="G18" s="396">
        <f t="shared" si="0"/>
        <v>0</v>
      </c>
      <c r="H18" s="64"/>
      <c r="I18" s="251">
        <f>ROUNDUP(G18*'Page 3'!$Q$20,2)</f>
        <v>0</v>
      </c>
      <c r="J18" s="64" t="s">
        <v>31</v>
      </c>
      <c r="K18" s="251">
        <f>ROUND(('Page 3'!$Q$26+'Page 3'!$Q$27)*'Page 4'!G18,2)</f>
        <v>0</v>
      </c>
      <c r="L18" s="519"/>
      <c r="M18" s="519"/>
      <c r="N18" s="519"/>
      <c r="O18" s="64" t="s">
        <v>32</v>
      </c>
      <c r="P18" s="119">
        <f t="shared" si="1"/>
        <v>0</v>
      </c>
      <c r="Q18" s="514"/>
      <c r="R18" s="514"/>
      <c r="T18" s="303"/>
      <c r="U18" s="305"/>
      <c r="W18" s="303"/>
      <c r="X18" s="305"/>
    </row>
    <row r="19" spans="1:24" s="34" customFormat="1" ht="16.5" thickTop="1" thickBot="1" x14ac:dyDescent="0.3">
      <c r="A19" s="24"/>
      <c r="B19" s="517" t="s">
        <v>27</v>
      </c>
      <c r="C19" s="321"/>
      <c r="D19" s="219"/>
      <c r="E19" s="507">
        <v>0</v>
      </c>
      <c r="F19" s="408"/>
      <c r="G19" s="302">
        <f t="shared" si="0"/>
        <v>0</v>
      </c>
      <c r="H19" s="408"/>
      <c r="I19" s="250">
        <f>ROUNDUP(G19*'Page 3'!$Q$20,2)</f>
        <v>0</v>
      </c>
      <c r="J19" s="408" t="s">
        <v>31</v>
      </c>
      <c r="K19" s="250">
        <f>ROUND(('Page 3'!$Q$26+'Page 3'!$Q$27)*'Page 4'!G19,2)</f>
        <v>0</v>
      </c>
      <c r="L19" s="520"/>
      <c r="M19" s="520"/>
      <c r="N19" s="520"/>
      <c r="O19" s="408" t="s">
        <v>32</v>
      </c>
      <c r="P19" s="107">
        <f t="shared" si="1"/>
        <v>0</v>
      </c>
      <c r="Q19" s="521"/>
      <c r="R19" s="521"/>
      <c r="T19" s="303"/>
      <c r="U19" s="305"/>
      <c r="W19" s="303"/>
      <c r="X19" s="305"/>
    </row>
    <row r="20" spans="1:24" s="34" customFormat="1" ht="16.5" thickTop="1" thickBot="1" x14ac:dyDescent="0.3">
      <c r="B20" s="516" t="s">
        <v>29</v>
      </c>
      <c r="C20" s="457"/>
      <c r="D20" s="458"/>
      <c r="E20" s="508">
        <v>0</v>
      </c>
      <c r="F20" s="64"/>
      <c r="G20" s="396">
        <f t="shared" si="0"/>
        <v>0</v>
      </c>
      <c r="H20" s="64"/>
      <c r="I20" s="251">
        <f>ROUNDUP(G20*'Page 3'!$Q$20,2)</f>
        <v>0</v>
      </c>
      <c r="J20" s="64" t="s">
        <v>31</v>
      </c>
      <c r="K20" s="251">
        <f>ROUND(('Page 3'!$Q$26+'Page 3'!$Q$27)*'Page 4'!G20,2)</f>
        <v>0</v>
      </c>
      <c r="L20" s="519"/>
      <c r="M20" s="519"/>
      <c r="N20" s="519"/>
      <c r="O20" s="64" t="s">
        <v>32</v>
      </c>
      <c r="P20" s="119">
        <f t="shared" si="1"/>
        <v>0</v>
      </c>
      <c r="Q20" s="514"/>
      <c r="R20" s="514"/>
      <c r="T20" s="303"/>
      <c r="U20" s="305"/>
      <c r="W20" s="303"/>
      <c r="X20" s="305"/>
    </row>
    <row r="21" spans="1:24" s="34" customFormat="1" ht="16.5" thickTop="1" thickBot="1" x14ac:dyDescent="0.3">
      <c r="A21" s="24"/>
      <c r="B21" s="517" t="s">
        <v>147</v>
      </c>
      <c r="C21" s="321"/>
      <c r="D21" s="219"/>
      <c r="E21" s="507">
        <v>0</v>
      </c>
      <c r="F21" s="408"/>
      <c r="G21" s="302">
        <f t="shared" si="0"/>
        <v>0</v>
      </c>
      <c r="H21" s="408"/>
      <c r="I21" s="250">
        <f>ROUNDUP(G21*'Page 3'!$Q$20,2)</f>
        <v>0</v>
      </c>
      <c r="J21" s="408" t="s">
        <v>31</v>
      </c>
      <c r="K21" s="250">
        <f>ROUND(('Page 3'!$Q$26+'Page 3'!$Q$27)*'Page 4'!G21,2)</f>
        <v>0</v>
      </c>
      <c r="L21" s="520"/>
      <c r="M21" s="520"/>
      <c r="N21" s="520"/>
      <c r="O21" s="408" t="s">
        <v>32</v>
      </c>
      <c r="P21" s="107">
        <f t="shared" si="1"/>
        <v>0</v>
      </c>
      <c r="Q21" s="521"/>
      <c r="R21" s="521"/>
      <c r="T21" s="303"/>
      <c r="U21" s="305"/>
      <c r="W21" s="303"/>
      <c r="X21" s="305"/>
    </row>
    <row r="22" spans="1:24" s="34" customFormat="1" ht="16.5" thickTop="1" thickBot="1" x14ac:dyDescent="0.3">
      <c r="B22" s="516" t="s">
        <v>282</v>
      </c>
      <c r="C22" s="457"/>
      <c r="D22" s="458"/>
      <c r="E22" s="508">
        <v>0</v>
      </c>
      <c r="F22" s="64"/>
      <c r="G22" s="396">
        <f t="shared" si="0"/>
        <v>0</v>
      </c>
      <c r="H22" s="64"/>
      <c r="I22" s="251">
        <f>ROUNDUP(G22*'Page 3'!$Q$20,2)</f>
        <v>0</v>
      </c>
      <c r="J22" s="64" t="s">
        <v>31</v>
      </c>
      <c r="K22" s="251">
        <f>ROUND(('Page 3'!$Q$26+'Page 3'!$Q$27)*'Page 4'!G22,2)</f>
        <v>0</v>
      </c>
      <c r="L22" s="519"/>
      <c r="M22" s="519"/>
      <c r="N22" s="519"/>
      <c r="O22" s="64" t="s">
        <v>32</v>
      </c>
      <c r="P22" s="119">
        <f t="shared" si="1"/>
        <v>0</v>
      </c>
      <c r="Q22" s="514"/>
      <c r="R22" s="514"/>
      <c r="T22" s="303"/>
      <c r="U22" s="305"/>
      <c r="W22" s="303"/>
      <c r="X22" s="305"/>
    </row>
    <row r="23" spans="1:24" s="34" customFormat="1" ht="15.75" thickTop="1" x14ac:dyDescent="0.25">
      <c r="A23" s="311"/>
      <c r="B23" s="312"/>
      <c r="C23" s="313" t="s">
        <v>12</v>
      </c>
      <c r="D23" s="311"/>
      <c r="E23" s="506">
        <f>SUM(E13:E16)</f>
        <v>1277</v>
      </c>
      <c r="F23" s="314"/>
      <c r="G23" s="315">
        <f>SUM(G13:G16)</f>
        <v>1</v>
      </c>
      <c r="H23" s="314"/>
      <c r="I23" s="316">
        <f>SUM(I13:I16)</f>
        <v>14736305.439999999</v>
      </c>
      <c r="J23" s="317"/>
      <c r="K23" s="318">
        <f>SUM(K13:K16)</f>
        <v>5530571.96</v>
      </c>
      <c r="L23" s="317"/>
      <c r="M23" s="317"/>
      <c r="N23" s="317"/>
      <c r="O23" s="317"/>
      <c r="P23" s="319">
        <f>SUM(P13:P16)</f>
        <v>20266877.400000002</v>
      </c>
      <c r="Q23" s="320"/>
      <c r="R23" s="320"/>
      <c r="T23" s="429"/>
      <c r="U23" s="430"/>
      <c r="V23" s="305"/>
      <c r="W23" s="303"/>
      <c r="X23" s="305"/>
    </row>
    <row r="24" spans="1:24" s="34" customFormat="1" ht="3.75" customHeight="1" x14ac:dyDescent="0.25">
      <c r="A24" s="92"/>
      <c r="B24" s="92"/>
      <c r="C24" s="62"/>
      <c r="E24" s="45"/>
      <c r="F24" s="63"/>
      <c r="G24" s="45"/>
      <c r="H24" s="64"/>
      <c r="I24" s="45"/>
      <c r="J24" s="44"/>
      <c r="K24" s="65"/>
      <c r="L24" s="65"/>
      <c r="M24" s="65"/>
      <c r="N24" s="65"/>
      <c r="O24" s="44"/>
      <c r="P24" s="66"/>
      <c r="Q24" s="44"/>
      <c r="R24" s="44"/>
    </row>
    <row r="25" spans="1:24" s="241" customFormat="1" ht="12" customHeight="1" x14ac:dyDescent="0.2">
      <c r="A25" s="239" t="s">
        <v>17</v>
      </c>
      <c r="B25" s="234" t="s">
        <v>123</v>
      </c>
      <c r="C25" s="240"/>
      <c r="E25" s="242"/>
      <c r="F25" s="243"/>
      <c r="G25" s="242"/>
      <c r="H25" s="243"/>
      <c r="I25" s="242"/>
      <c r="J25" s="244"/>
      <c r="K25" s="245"/>
      <c r="L25" s="245"/>
      <c r="M25" s="245"/>
      <c r="N25" s="245"/>
      <c r="O25" s="244"/>
      <c r="P25" s="245"/>
      <c r="Q25" s="244"/>
      <c r="R25" s="244"/>
    </row>
    <row r="26" spans="1:24" s="227" customFormat="1" ht="35.25" customHeight="1" thickBot="1" x14ac:dyDescent="0.25">
      <c r="C26" s="222" t="s">
        <v>119</v>
      </c>
      <c r="D26" s="222"/>
      <c r="E26" s="423" t="s">
        <v>299</v>
      </c>
      <c r="F26" s="228" t="s">
        <v>36</v>
      </c>
      <c r="G26" s="222" t="s">
        <v>124</v>
      </c>
      <c r="H26" s="229" t="s">
        <v>32</v>
      </c>
      <c r="I26" s="222"/>
      <c r="J26" s="228"/>
      <c r="K26" s="584"/>
      <c r="L26" s="584"/>
      <c r="M26" s="222"/>
      <c r="N26" s="222"/>
      <c r="O26" s="584" t="s">
        <v>126</v>
      </c>
      <c r="P26" s="584"/>
      <c r="Q26" s="584"/>
      <c r="R26" s="222"/>
    </row>
    <row r="27" spans="1:24" ht="16.5" thickTop="1" thickBot="1" x14ac:dyDescent="0.3">
      <c r="A27" s="69"/>
      <c r="B27" s="309" t="s">
        <v>6</v>
      </c>
      <c r="C27" s="594" t="str">
        <f>IF(C13="","",C13)</f>
        <v>Arrowsic</v>
      </c>
      <c r="D27" s="69"/>
      <c r="E27" s="485">
        <v>90050000</v>
      </c>
      <c r="F27" s="69" t="s">
        <v>36</v>
      </c>
      <c r="G27" s="306">
        <v>8.2799999999999994</v>
      </c>
      <c r="H27" s="308" t="s">
        <v>32</v>
      </c>
      <c r="I27" s="250"/>
      <c r="J27" s="69"/>
      <c r="K27" s="107"/>
      <c r="L27" s="67"/>
      <c r="M27" s="67"/>
      <c r="N27" s="67"/>
      <c r="O27" s="308"/>
      <c r="P27" s="107">
        <f t="shared" ref="P27:P29" si="2">IF(E27=0,"",ROUND(E27*(G27/1000),2))</f>
        <v>745614</v>
      </c>
      <c r="Q27" s="69"/>
      <c r="R27" s="307"/>
    </row>
    <row r="28" spans="1:24" ht="16.5" thickTop="1" thickBot="1" x14ac:dyDescent="0.3">
      <c r="A28" s="381"/>
      <c r="B28" s="384" t="s">
        <v>8</v>
      </c>
      <c r="C28" s="400" t="str">
        <f t="shared" ref="C28:C36" si="3">IF(C14="","",C14)</f>
        <v>Bath</v>
      </c>
      <c r="D28" s="385"/>
      <c r="E28" s="486">
        <v>954100000</v>
      </c>
      <c r="F28" s="381" t="s">
        <v>36</v>
      </c>
      <c r="G28" s="401">
        <f>$G$27</f>
        <v>8.2799999999999994</v>
      </c>
      <c r="H28" s="13" t="s">
        <v>32</v>
      </c>
      <c r="I28" s="120"/>
      <c r="J28" s="381"/>
      <c r="K28" s="399"/>
      <c r="L28" s="68"/>
      <c r="M28" s="68"/>
      <c r="N28" s="68"/>
      <c r="O28" s="13"/>
      <c r="P28" s="119">
        <f t="shared" si="2"/>
        <v>7899948</v>
      </c>
      <c r="Q28" s="381"/>
      <c r="R28" s="383"/>
    </row>
    <row r="29" spans="1:24" ht="16.5" thickTop="1" thickBot="1" x14ac:dyDescent="0.3">
      <c r="A29" s="452"/>
      <c r="B29" s="449" t="s">
        <v>9</v>
      </c>
      <c r="C29" s="28" t="str">
        <f t="shared" si="3"/>
        <v>Phippsburg</v>
      </c>
      <c r="D29" s="452"/>
      <c r="E29" s="485">
        <v>633800000</v>
      </c>
      <c r="F29" s="452" t="s">
        <v>36</v>
      </c>
      <c r="G29" s="306">
        <f>G27</f>
        <v>8.2799999999999994</v>
      </c>
      <c r="H29" s="408" t="s">
        <v>32</v>
      </c>
      <c r="I29" s="250"/>
      <c r="J29" s="452"/>
      <c r="K29" s="107"/>
      <c r="L29" s="67"/>
      <c r="M29" s="67"/>
      <c r="N29" s="67"/>
      <c r="O29" s="408"/>
      <c r="P29" s="107">
        <f t="shared" si="2"/>
        <v>5247864</v>
      </c>
      <c r="Q29" s="452"/>
      <c r="R29" s="446"/>
    </row>
    <row r="30" spans="1:24" s="34" customFormat="1" ht="16.5" thickTop="1" thickBot="1" x14ac:dyDescent="0.3">
      <c r="A30" s="445"/>
      <c r="B30" s="448" t="s">
        <v>21</v>
      </c>
      <c r="C30" s="400" t="str">
        <f t="shared" si="3"/>
        <v/>
      </c>
      <c r="D30" s="445"/>
      <c r="E30" s="510"/>
      <c r="F30" s="445" t="s">
        <v>36</v>
      </c>
      <c r="G30" s="459">
        <f>G27</f>
        <v>8.2799999999999994</v>
      </c>
      <c r="H30" s="64" t="s">
        <v>32</v>
      </c>
      <c r="I30" s="251"/>
      <c r="J30" s="445"/>
      <c r="K30" s="119"/>
      <c r="L30" s="116"/>
      <c r="M30" s="116"/>
      <c r="N30" s="116"/>
      <c r="O30" s="64"/>
      <c r="P30" s="119" t="str">
        <f>IF(E30=0,"",ROUND(E30*(G30/1000),2))</f>
        <v/>
      </c>
      <c r="Q30" s="445"/>
      <c r="R30" s="48"/>
    </row>
    <row r="31" spans="1:24" s="34" customFormat="1" ht="16.5" thickTop="1" thickBot="1" x14ac:dyDescent="0.3">
      <c r="A31" s="521"/>
      <c r="B31" s="517" t="s">
        <v>23</v>
      </c>
      <c r="C31" s="28" t="str">
        <f t="shared" si="3"/>
        <v/>
      </c>
      <c r="D31" s="521"/>
      <c r="E31" s="485"/>
      <c r="F31" s="521" t="s">
        <v>36</v>
      </c>
      <c r="G31" s="306">
        <v>8.2799999999999994</v>
      </c>
      <c r="H31" s="408" t="s">
        <v>32</v>
      </c>
      <c r="I31" s="250"/>
      <c r="J31" s="521"/>
      <c r="K31" s="107"/>
      <c r="L31" s="67"/>
      <c r="M31" s="67"/>
      <c r="N31" s="67"/>
      <c r="O31" s="408"/>
      <c r="P31" s="107" t="str">
        <f t="shared" ref="P31:P36" si="4">IF(E31=0,"",ROUND(E31*(G31/1000),2))</f>
        <v/>
      </c>
      <c r="Q31" s="521"/>
      <c r="R31" s="515"/>
    </row>
    <row r="32" spans="1:24" s="34" customFormat="1" ht="16.5" thickTop="1" thickBot="1" x14ac:dyDescent="0.3">
      <c r="A32" s="514"/>
      <c r="B32" s="516" t="s">
        <v>25</v>
      </c>
      <c r="C32" s="400" t="str">
        <f t="shared" si="3"/>
        <v/>
      </c>
      <c r="D32" s="514"/>
      <c r="E32" s="510"/>
      <c r="F32" s="514" t="s">
        <v>36</v>
      </c>
      <c r="G32" s="459">
        <v>8.2799999999999994</v>
      </c>
      <c r="H32" s="64" t="s">
        <v>32</v>
      </c>
      <c r="I32" s="251"/>
      <c r="J32" s="514"/>
      <c r="K32" s="119"/>
      <c r="L32" s="116"/>
      <c r="M32" s="116"/>
      <c r="N32" s="116"/>
      <c r="O32" s="64"/>
      <c r="P32" s="119" t="str">
        <f t="shared" si="4"/>
        <v/>
      </c>
      <c r="Q32" s="514"/>
      <c r="R32" s="48"/>
    </row>
    <row r="33" spans="1:19" s="34" customFormat="1" ht="16.5" thickTop="1" thickBot="1" x14ac:dyDescent="0.3">
      <c r="A33" s="521"/>
      <c r="B33" s="517" t="s">
        <v>27</v>
      </c>
      <c r="C33" s="28" t="str">
        <f t="shared" si="3"/>
        <v/>
      </c>
      <c r="D33" s="521"/>
      <c r="E33" s="485"/>
      <c r="F33" s="521" t="s">
        <v>36</v>
      </c>
      <c r="G33" s="306">
        <v>8.2799999999999994</v>
      </c>
      <c r="H33" s="408" t="s">
        <v>32</v>
      </c>
      <c r="I33" s="250"/>
      <c r="J33" s="521"/>
      <c r="K33" s="107"/>
      <c r="L33" s="67"/>
      <c r="M33" s="67"/>
      <c r="N33" s="67"/>
      <c r="O33" s="408"/>
      <c r="P33" s="107" t="str">
        <f t="shared" si="4"/>
        <v/>
      </c>
      <c r="Q33" s="521"/>
      <c r="R33" s="515"/>
    </row>
    <row r="34" spans="1:19" s="34" customFormat="1" ht="16.5" thickTop="1" thickBot="1" x14ac:dyDescent="0.3">
      <c r="A34" s="514"/>
      <c r="B34" s="516" t="s">
        <v>29</v>
      </c>
      <c r="C34" s="400" t="str">
        <f t="shared" si="3"/>
        <v/>
      </c>
      <c r="D34" s="514"/>
      <c r="E34" s="510"/>
      <c r="F34" s="514" t="s">
        <v>36</v>
      </c>
      <c r="G34" s="459">
        <v>8.2799999999999994</v>
      </c>
      <c r="H34" s="64" t="s">
        <v>32</v>
      </c>
      <c r="I34" s="251"/>
      <c r="J34" s="514"/>
      <c r="K34" s="119"/>
      <c r="L34" s="116"/>
      <c r="M34" s="116"/>
      <c r="N34" s="116"/>
      <c r="O34" s="64"/>
      <c r="P34" s="119" t="str">
        <f t="shared" si="4"/>
        <v/>
      </c>
      <c r="Q34" s="514"/>
      <c r="R34" s="48"/>
    </row>
    <row r="35" spans="1:19" s="34" customFormat="1" ht="16.5" thickTop="1" thickBot="1" x14ac:dyDescent="0.3">
      <c r="A35" s="521"/>
      <c r="B35" s="517" t="s">
        <v>147</v>
      </c>
      <c r="C35" s="28" t="str">
        <f t="shared" si="3"/>
        <v/>
      </c>
      <c r="D35" s="521"/>
      <c r="E35" s="485"/>
      <c r="F35" s="521" t="s">
        <v>36</v>
      </c>
      <c r="G35" s="306">
        <v>8.2799999999999994</v>
      </c>
      <c r="H35" s="408" t="s">
        <v>32</v>
      </c>
      <c r="I35" s="250"/>
      <c r="J35" s="521"/>
      <c r="K35" s="107"/>
      <c r="L35" s="67"/>
      <c r="M35" s="67"/>
      <c r="N35" s="67"/>
      <c r="O35" s="408"/>
      <c r="P35" s="107" t="str">
        <f t="shared" si="4"/>
        <v/>
      </c>
      <c r="Q35" s="521"/>
      <c r="R35" s="515"/>
    </row>
    <row r="36" spans="1:19" s="34" customFormat="1" ht="16.5" thickTop="1" thickBot="1" x14ac:dyDescent="0.3">
      <c r="A36" s="514"/>
      <c r="B36" s="516" t="s">
        <v>282</v>
      </c>
      <c r="C36" s="400" t="str">
        <f t="shared" si="3"/>
        <v/>
      </c>
      <c r="D36" s="514"/>
      <c r="E36" s="510"/>
      <c r="F36" s="514" t="s">
        <v>36</v>
      </c>
      <c r="G36" s="459">
        <v>8.2799999999999994</v>
      </c>
      <c r="H36" s="64" t="s">
        <v>32</v>
      </c>
      <c r="I36" s="251"/>
      <c r="J36" s="514"/>
      <c r="K36" s="119"/>
      <c r="L36" s="116"/>
      <c r="M36" s="116"/>
      <c r="N36" s="116"/>
      <c r="O36" s="64"/>
      <c r="P36" s="119" t="str">
        <f t="shared" si="4"/>
        <v/>
      </c>
      <c r="Q36" s="514"/>
      <c r="R36" s="48"/>
    </row>
    <row r="37" spans="1:19" s="34" customFormat="1" ht="15.75" thickTop="1" x14ac:dyDescent="0.25">
      <c r="A37" s="44"/>
      <c r="B37" s="92"/>
      <c r="C37" s="93" t="s">
        <v>12</v>
      </c>
      <c r="D37" s="44"/>
      <c r="E37" s="509">
        <f>SUM(E27:E30)</f>
        <v>1677950000</v>
      </c>
      <c r="F37" s="44"/>
      <c r="G37" s="106"/>
      <c r="H37" s="64"/>
      <c r="I37" s="121"/>
      <c r="J37" s="44"/>
      <c r="K37" s="119"/>
      <c r="L37" s="116"/>
      <c r="M37" s="116"/>
      <c r="N37" s="116"/>
      <c r="O37" s="64"/>
      <c r="P37" s="283">
        <f>SUM(P27:P30)</f>
        <v>13893426</v>
      </c>
      <c r="Q37" s="44"/>
      <c r="R37" s="48"/>
    </row>
    <row r="38" spans="1:19" ht="3.75" customHeight="1" x14ac:dyDescent="0.25">
      <c r="A38" s="78"/>
      <c r="B38" s="78"/>
      <c r="D38" s="79"/>
      <c r="E38" s="77"/>
      <c r="F38" s="13"/>
      <c r="G38" s="79"/>
      <c r="H38" s="13"/>
      <c r="I38" s="79"/>
      <c r="J38" s="13"/>
      <c r="O38" s="13"/>
      <c r="R38" s="110"/>
    </row>
    <row r="39" spans="1:19" s="235" customFormat="1" ht="12" customHeight="1" x14ac:dyDescent="0.2">
      <c r="A39" s="233" t="s">
        <v>42</v>
      </c>
      <c r="B39" s="588" t="s">
        <v>129</v>
      </c>
      <c r="C39" s="588"/>
      <c r="D39" s="588"/>
      <c r="E39" s="588"/>
      <c r="F39" s="588"/>
      <c r="G39" s="588"/>
      <c r="H39" s="588"/>
      <c r="I39" s="588"/>
      <c r="J39" s="588"/>
      <c r="K39" s="588"/>
      <c r="L39" s="236"/>
      <c r="M39" s="236"/>
      <c r="N39" s="236"/>
      <c r="O39" s="246"/>
      <c r="P39" s="236"/>
      <c r="Q39" s="236"/>
      <c r="R39" s="247"/>
    </row>
    <row r="40" spans="1:19" s="230" customFormat="1" ht="35.25" customHeight="1" x14ac:dyDescent="0.2">
      <c r="C40" s="222" t="s">
        <v>119</v>
      </c>
      <c r="E40" s="585"/>
      <c r="F40" s="585"/>
      <c r="G40" s="231"/>
      <c r="I40" s="222" t="s">
        <v>180</v>
      </c>
      <c r="J40" s="222"/>
      <c r="K40" s="222" t="s">
        <v>127</v>
      </c>
      <c r="L40" s="222"/>
      <c r="M40" s="222" t="s">
        <v>128</v>
      </c>
      <c r="N40" s="222"/>
      <c r="O40" s="231"/>
      <c r="P40" s="222" t="s">
        <v>188</v>
      </c>
      <c r="Q40" s="232"/>
      <c r="R40" s="262" t="s">
        <v>221</v>
      </c>
    </row>
    <row r="41" spans="1:19" x14ac:dyDescent="0.25">
      <c r="A41" s="24"/>
      <c r="B41" s="309" t="s">
        <v>6</v>
      </c>
      <c r="C41" s="594" t="str">
        <f>IF(C13="","",C13)</f>
        <v>Arrowsic</v>
      </c>
      <c r="D41" s="309"/>
      <c r="E41" s="249"/>
      <c r="F41" s="249"/>
      <c r="G41" s="69"/>
      <c r="H41" s="24"/>
      <c r="I41" s="250">
        <f>P13</f>
        <v>531600.18999999994</v>
      </c>
      <c r="J41" s="308" t="s">
        <v>179</v>
      </c>
      <c r="K41" s="250">
        <f>MIN(P13,P27)</f>
        <v>531600.18999999994</v>
      </c>
      <c r="L41" s="67"/>
      <c r="M41" s="220">
        <f t="shared" ref="M41:M44" si="5">IF(E27=0,"",ROUND(K41/(E27/1000),2))</f>
        <v>5.9</v>
      </c>
      <c r="N41" s="69"/>
      <c r="O41" s="308" t="s">
        <v>32</v>
      </c>
      <c r="P41" s="250">
        <f>IF(K41=P27,I41-K41,0)</f>
        <v>0</v>
      </c>
      <c r="Q41" s="69"/>
      <c r="R41" s="302">
        <f>ROUND(K41/$K$51,5)</f>
        <v>4.6149999999999997E-2</v>
      </c>
      <c r="S41" s="343"/>
    </row>
    <row r="42" spans="1:19" s="34" customFormat="1" x14ac:dyDescent="0.25">
      <c r="B42" s="384" t="s">
        <v>8</v>
      </c>
      <c r="C42" s="400" t="str">
        <f t="shared" ref="C42:C50" si="6">IF(C14="","",C14)</f>
        <v>Bath</v>
      </c>
      <c r="D42" s="384"/>
      <c r="E42" s="402"/>
      <c r="F42" s="402"/>
      <c r="G42" s="380"/>
      <c r="I42" s="251">
        <f>P14</f>
        <v>16648429.109999999</v>
      </c>
      <c r="J42" s="64" t="s">
        <v>179</v>
      </c>
      <c r="K42" s="251">
        <f>MIN(P14,P28)</f>
        <v>7899948</v>
      </c>
      <c r="L42" s="116"/>
      <c r="M42" s="102">
        <f t="shared" si="5"/>
        <v>8.2799999999999994</v>
      </c>
      <c r="N42" s="380"/>
      <c r="O42" s="64" t="s">
        <v>32</v>
      </c>
      <c r="P42" s="251">
        <f>IF(K42=P28,I42-K42,0)</f>
        <v>8748481.1099999994</v>
      </c>
      <c r="Q42" s="380"/>
      <c r="R42" s="396">
        <f t="shared" ref="R42:R50" si="7">ROUND(K42/$K$51,5)</f>
        <v>0.68584999999999996</v>
      </c>
      <c r="S42" s="343"/>
    </row>
    <row r="43" spans="1:19" x14ac:dyDescent="0.25">
      <c r="A43" s="24"/>
      <c r="B43" s="449" t="s">
        <v>9</v>
      </c>
      <c r="C43" s="28" t="str">
        <f t="shared" si="6"/>
        <v>Phippsburg</v>
      </c>
      <c r="D43" s="449"/>
      <c r="E43" s="249"/>
      <c r="F43" s="249"/>
      <c r="G43" s="452"/>
      <c r="H43" s="24"/>
      <c r="I43" s="250">
        <f>P15</f>
        <v>3086848.1</v>
      </c>
      <c r="J43" s="408" t="s">
        <v>179</v>
      </c>
      <c r="K43" s="250">
        <f>MIN(P15,P29)</f>
        <v>3086848.1</v>
      </c>
      <c r="L43" s="67"/>
      <c r="M43" s="220">
        <f t="shared" si="5"/>
        <v>4.87</v>
      </c>
      <c r="N43" s="452"/>
      <c r="O43" s="408" t="s">
        <v>32</v>
      </c>
      <c r="P43" s="250">
        <f>IF(K43=P29,I43-K43,0)</f>
        <v>0</v>
      </c>
      <c r="Q43" s="452"/>
      <c r="R43" s="302">
        <f t="shared" si="7"/>
        <v>0.26799000000000001</v>
      </c>
      <c r="S43" s="343"/>
    </row>
    <row r="44" spans="1:19" s="34" customFormat="1" x14ac:dyDescent="0.25">
      <c r="B44" s="448" t="s">
        <v>21</v>
      </c>
      <c r="C44" s="400" t="str">
        <f t="shared" si="6"/>
        <v/>
      </c>
      <c r="D44" s="448"/>
      <c r="E44" s="402"/>
      <c r="F44" s="402"/>
      <c r="G44" s="445"/>
      <c r="I44" s="251">
        <f>P16</f>
        <v>0</v>
      </c>
      <c r="J44" s="64" t="s">
        <v>179</v>
      </c>
      <c r="K44" s="251">
        <f>MIN(P16,P30)</f>
        <v>0</v>
      </c>
      <c r="L44" s="116"/>
      <c r="M44" s="102" t="str">
        <f t="shared" si="5"/>
        <v/>
      </c>
      <c r="N44" s="445"/>
      <c r="O44" s="64" t="s">
        <v>32</v>
      </c>
      <c r="P44" s="251">
        <f>IF(K44=P30,I44-K44,0)</f>
        <v>0</v>
      </c>
      <c r="Q44" s="445"/>
      <c r="R44" s="396">
        <f t="shared" si="7"/>
        <v>0</v>
      </c>
      <c r="S44" s="460"/>
    </row>
    <row r="45" spans="1:19" s="34" customFormat="1" x14ac:dyDescent="0.25">
      <c r="A45" s="24"/>
      <c r="B45" s="517" t="s">
        <v>23</v>
      </c>
      <c r="C45" s="28" t="str">
        <f t="shared" si="6"/>
        <v/>
      </c>
      <c r="D45" s="517"/>
      <c r="E45" s="249"/>
      <c r="F45" s="249"/>
      <c r="G45" s="521"/>
      <c r="H45" s="24"/>
      <c r="I45" s="250">
        <f t="shared" ref="I45:I50" si="8">P17</f>
        <v>0</v>
      </c>
      <c r="J45" s="408" t="s">
        <v>179</v>
      </c>
      <c r="K45" s="250">
        <f t="shared" ref="K45:K50" si="9">MIN(P17,P31)</f>
        <v>0</v>
      </c>
      <c r="L45" s="67"/>
      <c r="M45" s="220" t="str">
        <f>IF(E31=0,"",ROUND(K45/(E31/1000),2))</f>
        <v/>
      </c>
      <c r="N45" s="521"/>
      <c r="O45" s="408" t="s">
        <v>32</v>
      </c>
      <c r="P45" s="250"/>
      <c r="Q45" s="521"/>
      <c r="R45" s="302">
        <f t="shared" si="7"/>
        <v>0</v>
      </c>
      <c r="S45" s="460"/>
    </row>
    <row r="46" spans="1:19" s="34" customFormat="1" x14ac:dyDescent="0.25">
      <c r="B46" s="516" t="s">
        <v>25</v>
      </c>
      <c r="C46" s="400" t="str">
        <f t="shared" si="6"/>
        <v/>
      </c>
      <c r="D46" s="516"/>
      <c r="E46" s="402"/>
      <c r="F46" s="402"/>
      <c r="G46" s="514"/>
      <c r="I46" s="251">
        <f t="shared" si="8"/>
        <v>0</v>
      </c>
      <c r="J46" s="64" t="s">
        <v>179</v>
      </c>
      <c r="K46" s="251">
        <f t="shared" si="9"/>
        <v>0</v>
      </c>
      <c r="L46" s="116"/>
      <c r="M46" s="102" t="str">
        <f t="shared" ref="M46:M50" si="10">IF(E32=0,"",ROUND(K46/(E32/1000),2))</f>
        <v/>
      </c>
      <c r="N46" s="514"/>
      <c r="O46" s="64" t="s">
        <v>32</v>
      </c>
      <c r="P46" s="251"/>
      <c r="Q46" s="514"/>
      <c r="R46" s="396">
        <f t="shared" si="7"/>
        <v>0</v>
      </c>
      <c r="S46" s="460"/>
    </row>
    <row r="47" spans="1:19" s="34" customFormat="1" x14ac:dyDescent="0.25">
      <c r="A47" s="24"/>
      <c r="B47" s="517" t="s">
        <v>27</v>
      </c>
      <c r="C47" s="28" t="str">
        <f t="shared" si="6"/>
        <v/>
      </c>
      <c r="D47" s="517"/>
      <c r="E47" s="249"/>
      <c r="F47" s="249"/>
      <c r="G47" s="521"/>
      <c r="H47" s="24"/>
      <c r="I47" s="250">
        <f t="shared" si="8"/>
        <v>0</v>
      </c>
      <c r="J47" s="408" t="s">
        <v>179</v>
      </c>
      <c r="K47" s="250">
        <f t="shared" si="9"/>
        <v>0</v>
      </c>
      <c r="L47" s="67"/>
      <c r="M47" s="220" t="str">
        <f t="shared" si="10"/>
        <v/>
      </c>
      <c r="N47" s="521"/>
      <c r="O47" s="408" t="s">
        <v>32</v>
      </c>
      <c r="P47" s="250"/>
      <c r="Q47" s="521"/>
      <c r="R47" s="302">
        <f t="shared" si="7"/>
        <v>0</v>
      </c>
      <c r="S47" s="460"/>
    </row>
    <row r="48" spans="1:19" s="34" customFormat="1" x14ac:dyDescent="0.25">
      <c r="B48" s="516" t="s">
        <v>29</v>
      </c>
      <c r="C48" s="400" t="str">
        <f t="shared" si="6"/>
        <v/>
      </c>
      <c r="D48" s="516"/>
      <c r="E48" s="402"/>
      <c r="F48" s="402"/>
      <c r="G48" s="514"/>
      <c r="I48" s="251">
        <f t="shared" si="8"/>
        <v>0</v>
      </c>
      <c r="J48" s="64" t="s">
        <v>179</v>
      </c>
      <c r="K48" s="251">
        <f t="shared" si="9"/>
        <v>0</v>
      </c>
      <c r="L48" s="116"/>
      <c r="M48" s="102" t="str">
        <f t="shared" si="10"/>
        <v/>
      </c>
      <c r="N48" s="514"/>
      <c r="O48" s="64" t="s">
        <v>32</v>
      </c>
      <c r="P48" s="251"/>
      <c r="Q48" s="514"/>
      <c r="R48" s="396">
        <f t="shared" si="7"/>
        <v>0</v>
      </c>
      <c r="S48" s="460"/>
    </row>
    <row r="49" spans="1:19" s="34" customFormat="1" x14ac:dyDescent="0.25">
      <c r="A49" s="24"/>
      <c r="B49" s="517" t="s">
        <v>147</v>
      </c>
      <c r="C49" s="28" t="str">
        <f t="shared" si="6"/>
        <v/>
      </c>
      <c r="D49" s="517"/>
      <c r="E49" s="249"/>
      <c r="F49" s="249"/>
      <c r="G49" s="521"/>
      <c r="H49" s="24"/>
      <c r="I49" s="250">
        <f t="shared" si="8"/>
        <v>0</v>
      </c>
      <c r="J49" s="408" t="s">
        <v>179</v>
      </c>
      <c r="K49" s="250">
        <f t="shared" si="9"/>
        <v>0</v>
      </c>
      <c r="L49" s="67"/>
      <c r="M49" s="220" t="str">
        <f t="shared" si="10"/>
        <v/>
      </c>
      <c r="N49" s="521"/>
      <c r="O49" s="408" t="s">
        <v>32</v>
      </c>
      <c r="P49" s="250"/>
      <c r="Q49" s="521"/>
      <c r="R49" s="302">
        <f t="shared" si="7"/>
        <v>0</v>
      </c>
      <c r="S49" s="460"/>
    </row>
    <row r="50" spans="1:19" s="34" customFormat="1" x14ac:dyDescent="0.25">
      <c r="B50" s="516" t="s">
        <v>282</v>
      </c>
      <c r="C50" s="400" t="str">
        <f t="shared" si="6"/>
        <v/>
      </c>
      <c r="D50" s="516"/>
      <c r="E50" s="402"/>
      <c r="F50" s="402"/>
      <c r="G50" s="514"/>
      <c r="I50" s="251">
        <f t="shared" si="8"/>
        <v>0</v>
      </c>
      <c r="J50" s="64" t="s">
        <v>179</v>
      </c>
      <c r="K50" s="251">
        <f t="shared" si="9"/>
        <v>0</v>
      </c>
      <c r="L50" s="116"/>
      <c r="M50" s="102" t="str">
        <f t="shared" si="10"/>
        <v/>
      </c>
      <c r="N50" s="514"/>
      <c r="O50" s="64" t="s">
        <v>32</v>
      </c>
      <c r="P50" s="251"/>
      <c r="Q50" s="514"/>
      <c r="R50" s="396">
        <f t="shared" si="7"/>
        <v>0</v>
      </c>
      <c r="S50" s="460"/>
    </row>
    <row r="51" spans="1:19" ht="15" customHeight="1" x14ac:dyDescent="0.25">
      <c r="B51" s="78"/>
      <c r="C51" s="8" t="s">
        <v>12</v>
      </c>
      <c r="D51" s="78"/>
      <c r="E51" s="122"/>
      <c r="F51" s="122"/>
      <c r="I51" s="287">
        <f>SUM(I41:I44)</f>
        <v>20266877.400000002</v>
      </c>
      <c r="J51" s="13" t="s">
        <v>179</v>
      </c>
      <c r="K51" s="287">
        <f>SUM(K41:K44)</f>
        <v>11518396.289999999</v>
      </c>
      <c r="L51" s="68"/>
      <c r="M51" s="102">
        <f>ROUND(K51/(E37/1000),2)</f>
        <v>6.86</v>
      </c>
      <c r="N51" s="171"/>
      <c r="O51" s="13" t="s">
        <v>32</v>
      </c>
      <c r="P51" s="288">
        <f>SUM(P41:P44)</f>
        <v>8748481.1099999994</v>
      </c>
      <c r="R51" s="261">
        <f>SUM(R41:R44)</f>
        <v>0.99998999999999993</v>
      </c>
      <c r="S51" s="261"/>
    </row>
    <row r="52" spans="1:19" ht="6" customHeight="1" x14ac:dyDescent="0.25"/>
  </sheetData>
  <mergeCells count="11">
    <mergeCell ref="T12:U12"/>
    <mergeCell ref="F7:K7"/>
    <mergeCell ref="B39:K39"/>
    <mergeCell ref="E40:F40"/>
    <mergeCell ref="K26:L26"/>
    <mergeCell ref="A1:Q1"/>
    <mergeCell ref="A2:Q2"/>
    <mergeCell ref="A3:Q3"/>
    <mergeCell ref="A5:R5"/>
    <mergeCell ref="O26:Q26"/>
    <mergeCell ref="P12:Q12"/>
  </mergeCells>
  <pageMargins left="0.47" right="0.2" top="0.27" bottom="0.26" header="0.17" footer="0.17"/>
  <pageSetup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zoomScaleNormal="100" workbookViewId="0">
      <selection activeCell="K78" sqref="K78"/>
    </sheetView>
  </sheetViews>
  <sheetFormatPr defaultRowHeight="15" x14ac:dyDescent="0.25"/>
  <cols>
    <col min="1" max="1" width="9.85546875" customWidth="1"/>
    <col min="2" max="2" width="12.5703125" customWidth="1"/>
    <col min="3" max="3" width="7.42578125" customWidth="1"/>
    <col min="4" max="4" width="12.140625" customWidth="1"/>
    <col min="5" max="5" width="12.7109375" bestFit="1" customWidth="1"/>
    <col min="6" max="6" width="14.28515625" bestFit="1" customWidth="1"/>
    <col min="7" max="7" width="13.42578125" customWidth="1"/>
    <col min="8" max="8" width="13.5703125" customWidth="1"/>
    <col min="9" max="9" width="14.28515625" customWidth="1"/>
    <col min="10" max="10" width="13.85546875" customWidth="1"/>
    <col min="11" max="11" width="14.28515625" customWidth="1"/>
    <col min="12" max="12" width="8.5703125" customWidth="1"/>
    <col min="13" max="13" width="15.42578125" customWidth="1"/>
    <col min="14" max="14" width="10.7109375" customWidth="1"/>
    <col min="15" max="17" width="13.28515625" bestFit="1" customWidth="1"/>
    <col min="18" max="18" width="15.85546875" bestFit="1" customWidth="1"/>
    <col min="19" max="20" width="11.5703125" bestFit="1" customWidth="1"/>
  </cols>
  <sheetData>
    <row r="1" spans="1:17" s="129" customFormat="1" x14ac:dyDescent="0.25">
      <c r="A1" s="589" t="s">
        <v>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125" t="s">
        <v>130</v>
      </c>
    </row>
    <row r="2" spans="1:17" s="129" customFormat="1" x14ac:dyDescent="0.25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125" t="s">
        <v>4</v>
      </c>
    </row>
    <row r="3" spans="1:17" s="129" customFormat="1" x14ac:dyDescent="0.25">
      <c r="A3" s="540" t="s">
        <v>2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124"/>
    </row>
    <row r="4" spans="1:17" s="129" customFormat="1" ht="6" customHeight="1" x14ac:dyDescent="0.25">
      <c r="E4" s="125"/>
      <c r="G4" s="145"/>
      <c r="H4" s="125"/>
      <c r="I4" s="125"/>
      <c r="J4" s="125"/>
      <c r="K4" s="125"/>
      <c r="L4" s="125"/>
      <c r="M4" s="125"/>
    </row>
    <row r="5" spans="1:17" s="129" customFormat="1" x14ac:dyDescent="0.25">
      <c r="A5" s="546" t="s">
        <v>3</v>
      </c>
      <c r="B5" s="546"/>
      <c r="C5" s="547"/>
      <c r="D5" s="547"/>
      <c r="E5" s="547"/>
      <c r="F5" s="547"/>
      <c r="G5" s="547"/>
      <c r="H5" s="547"/>
      <c r="I5" s="547"/>
      <c r="J5" s="547"/>
      <c r="K5" s="547"/>
      <c r="L5" s="525"/>
      <c r="M5" s="525"/>
    </row>
    <row r="6" spans="1:17" s="129" customFormat="1" ht="6" customHeight="1" x14ac:dyDescent="0.25">
      <c r="E6" s="125"/>
      <c r="G6" s="145"/>
      <c r="H6" s="125"/>
      <c r="I6" s="125"/>
      <c r="J6" s="125"/>
      <c r="K6" s="125"/>
      <c r="L6" s="125"/>
      <c r="M6" s="125"/>
    </row>
    <row r="7" spans="1:17" s="129" customFormat="1" x14ac:dyDescent="0.25">
      <c r="A7" s="438" t="str">
        <f>'Page 1'!A7</f>
        <v>Org ID:</v>
      </c>
      <c r="B7" s="439"/>
      <c r="C7" s="439"/>
      <c r="D7" s="439"/>
      <c r="E7" s="587"/>
      <c r="F7" s="587"/>
      <c r="G7" s="587" t="str">
        <f>'Page 1'!O7</f>
        <v>Sample District</v>
      </c>
      <c r="H7" s="592"/>
      <c r="I7" s="442"/>
      <c r="J7" s="442"/>
      <c r="K7" s="442"/>
      <c r="L7" s="442"/>
      <c r="M7" s="442" t="str">
        <f>'Page 1'!AQ7</f>
        <v>2020-21</v>
      </c>
    </row>
    <row r="8" spans="1:17" ht="6.75" customHeight="1" x14ac:dyDescent="0.25">
      <c r="E8" s="124"/>
      <c r="H8" s="124"/>
      <c r="I8" s="124"/>
      <c r="J8" s="124"/>
      <c r="K8" s="124"/>
      <c r="L8" s="124"/>
      <c r="M8" s="124"/>
    </row>
    <row r="9" spans="1:17" ht="30" x14ac:dyDescent="0.25">
      <c r="A9" s="6" t="s">
        <v>131</v>
      </c>
      <c r="B9" s="129" t="s">
        <v>132</v>
      </c>
      <c r="E9" s="124"/>
      <c r="H9" s="124"/>
      <c r="I9" s="134" t="s">
        <v>133</v>
      </c>
      <c r="J9" s="124"/>
      <c r="K9" s="135" t="s">
        <v>134</v>
      </c>
      <c r="L9" s="124"/>
      <c r="M9" s="134" t="s">
        <v>136</v>
      </c>
    </row>
    <row r="10" spans="1:17" ht="6" customHeight="1" x14ac:dyDescent="0.25">
      <c r="A10" s="6"/>
      <c r="B10" s="129"/>
      <c r="E10" s="124"/>
      <c r="H10" s="124"/>
      <c r="I10" s="124"/>
      <c r="J10" s="124"/>
      <c r="K10" s="124"/>
      <c r="L10" s="124"/>
      <c r="M10" s="124"/>
    </row>
    <row r="11" spans="1:17" ht="15" customHeight="1" x14ac:dyDescent="0.25">
      <c r="A11" s="8" t="s">
        <v>16</v>
      </c>
      <c r="B11" s="129" t="s">
        <v>135</v>
      </c>
      <c r="C11" s="129"/>
      <c r="F11" s="124"/>
      <c r="G11" s="142"/>
      <c r="H11" s="124"/>
      <c r="I11" s="122">
        <f>'Page 4'!I51:I51</f>
        <v>20266877.400000002</v>
      </c>
      <c r="J11" s="129"/>
      <c r="K11" s="122">
        <f>'Page 4'!K51</f>
        <v>11518396.289999999</v>
      </c>
      <c r="L11" s="129"/>
      <c r="M11" s="122">
        <f>I11-K11</f>
        <v>8748481.1100000031</v>
      </c>
    </row>
    <row r="12" spans="1:17" x14ac:dyDescent="0.25">
      <c r="A12" s="69"/>
      <c r="B12" s="128" t="s">
        <v>6</v>
      </c>
      <c r="C12" s="593" t="s">
        <v>137</v>
      </c>
      <c r="D12" s="523"/>
      <c r="E12" s="523"/>
      <c r="F12" s="523"/>
      <c r="G12" s="523"/>
      <c r="H12" s="523"/>
      <c r="I12" s="131"/>
      <c r="J12" s="91"/>
      <c r="K12" s="67">
        <f>M12*-1</f>
        <v>-799227.32000000007</v>
      </c>
      <c r="L12" s="127"/>
      <c r="M12" s="67">
        <f>SUM(D48:D51)</f>
        <v>799227.32000000007</v>
      </c>
    </row>
    <row r="13" spans="1:17" x14ac:dyDescent="0.25">
      <c r="A13" s="124"/>
      <c r="B13" s="130" t="s">
        <v>8</v>
      </c>
      <c r="C13" s="180" t="s">
        <v>197</v>
      </c>
      <c r="D13" s="180"/>
      <c r="E13" s="180"/>
      <c r="F13" s="180"/>
      <c r="G13" s="424">
        <v>0.45</v>
      </c>
      <c r="H13" s="180"/>
      <c r="I13" s="61"/>
      <c r="J13" s="88"/>
      <c r="K13" s="68">
        <f>M13*-1</f>
        <v>0</v>
      </c>
      <c r="L13" s="13"/>
      <c r="M13" s="68">
        <f>ROUND(IF(M11&gt;J87,0,J87-M11),2)</f>
        <v>0</v>
      </c>
      <c r="Q13" s="256"/>
    </row>
    <row r="14" spans="1:17" x14ac:dyDescent="0.25">
      <c r="A14" s="69"/>
      <c r="B14" s="128" t="s">
        <v>9</v>
      </c>
      <c r="C14" s="248" t="s">
        <v>202</v>
      </c>
      <c r="D14" s="183"/>
      <c r="E14" s="183"/>
      <c r="F14" s="183"/>
      <c r="G14" s="425">
        <v>0.05</v>
      </c>
      <c r="H14" s="183"/>
      <c r="I14" s="127"/>
      <c r="J14" s="67"/>
      <c r="K14" s="67">
        <f>M14*-1</f>
        <v>0</v>
      </c>
      <c r="L14" s="127"/>
      <c r="M14" s="67">
        <f>ROUND(IF(J95&gt;(M11+M12+M13),(J95-(M11+M12+M13)),0),2)</f>
        <v>0</v>
      </c>
      <c r="Q14" s="344"/>
    </row>
    <row r="15" spans="1:17" x14ac:dyDescent="0.25">
      <c r="A15" s="124"/>
      <c r="B15" s="130" t="s">
        <v>21</v>
      </c>
      <c r="C15" s="590" t="s">
        <v>217</v>
      </c>
      <c r="D15" s="523"/>
      <c r="E15" s="523"/>
      <c r="F15" s="523"/>
      <c r="G15" s="523"/>
      <c r="H15" s="523"/>
      <c r="I15" s="124"/>
      <c r="J15" s="68"/>
      <c r="K15" s="68">
        <f>M15*-1</f>
        <v>0</v>
      </c>
      <c r="L15" s="13"/>
      <c r="M15" s="259">
        <f>G59</f>
        <v>0</v>
      </c>
    </row>
    <row r="16" spans="1:17" x14ac:dyDescent="0.25">
      <c r="A16" s="69"/>
      <c r="B16" s="128" t="s">
        <v>23</v>
      </c>
      <c r="C16" s="358" t="s">
        <v>205</v>
      </c>
      <c r="D16" s="248"/>
      <c r="E16" s="248"/>
      <c r="F16" s="248"/>
      <c r="G16" s="248"/>
      <c r="H16" s="359">
        <v>1</v>
      </c>
      <c r="I16" s="357"/>
      <c r="J16" s="67"/>
      <c r="K16" s="67">
        <f>M16*-1</f>
        <v>0</v>
      </c>
      <c r="L16" s="127"/>
      <c r="M16" s="67">
        <f>ROUND(IF(G104=3,G108-M11,0),2)</f>
        <v>0</v>
      </c>
    </row>
    <row r="17" spans="1:13" s="34" customFormat="1" ht="9" customHeight="1" x14ac:dyDescent="0.25">
      <c r="A17" s="44"/>
      <c r="D17" s="133"/>
      <c r="E17" s="133"/>
      <c r="F17" s="133"/>
      <c r="G17" s="151"/>
      <c r="H17" s="64"/>
      <c r="I17" s="126"/>
      <c r="J17" s="126"/>
      <c r="K17" s="126"/>
      <c r="L17" s="64"/>
      <c r="M17" s="94"/>
    </row>
    <row r="18" spans="1:13" ht="15" customHeight="1" x14ac:dyDescent="0.25">
      <c r="A18" s="130"/>
      <c r="B18" s="6" t="s">
        <v>138</v>
      </c>
      <c r="C18" s="130"/>
      <c r="D18" s="124"/>
      <c r="E18" s="13"/>
      <c r="F18" s="132"/>
      <c r="G18" s="146"/>
      <c r="H18" s="132"/>
      <c r="I18" s="123">
        <f>I11</f>
        <v>20266877.400000002</v>
      </c>
      <c r="J18" s="124"/>
      <c r="K18" s="122">
        <f>SUM(K11:K16)</f>
        <v>10719168.969999999</v>
      </c>
      <c r="L18" s="13"/>
      <c r="M18" s="95">
        <f>SUM(M11:M16)</f>
        <v>9547708.4300000034</v>
      </c>
    </row>
    <row r="19" spans="1:13" ht="15" customHeight="1" x14ac:dyDescent="0.25">
      <c r="A19" s="130"/>
      <c r="B19" s="130"/>
      <c r="C19" s="130"/>
      <c r="D19" s="124"/>
      <c r="E19" s="13"/>
      <c r="F19" s="132"/>
      <c r="G19" s="146"/>
      <c r="H19" s="132"/>
      <c r="I19" s="124"/>
      <c r="J19" s="124"/>
      <c r="K19" s="124"/>
      <c r="L19" s="13"/>
      <c r="M19" s="124"/>
    </row>
    <row r="20" spans="1:13" s="129" customFormat="1" ht="15.75" thickBot="1" x14ac:dyDescent="0.3">
      <c r="A20" s="8" t="s">
        <v>17</v>
      </c>
      <c r="B20" s="564" t="s">
        <v>150</v>
      </c>
      <c r="C20" s="564"/>
      <c r="D20" s="523"/>
      <c r="E20" s="523"/>
      <c r="F20" s="523"/>
      <c r="G20" s="523"/>
      <c r="H20" s="523"/>
      <c r="I20" s="123"/>
      <c r="J20" s="591"/>
      <c r="K20" s="524"/>
      <c r="L20" s="125"/>
      <c r="M20" s="136"/>
    </row>
    <row r="21" spans="1:13" ht="16.5" thickTop="1" thickBot="1" x14ac:dyDescent="0.3">
      <c r="A21" s="69"/>
      <c r="B21" s="128" t="s">
        <v>6</v>
      </c>
      <c r="C21" s="593" t="s">
        <v>139</v>
      </c>
      <c r="D21" s="523"/>
      <c r="E21" s="523"/>
      <c r="F21" s="523"/>
      <c r="G21" s="523"/>
      <c r="H21" s="523"/>
      <c r="I21" s="131"/>
      <c r="J21" s="91"/>
      <c r="K21" s="67"/>
      <c r="L21" s="127"/>
      <c r="M21" s="511">
        <v>0</v>
      </c>
    </row>
    <row r="22" spans="1:13" ht="16.5" thickTop="1" thickBot="1" x14ac:dyDescent="0.3">
      <c r="A22" s="124"/>
      <c r="B22" s="130" t="s">
        <v>8</v>
      </c>
      <c r="C22" s="590" t="s">
        <v>140</v>
      </c>
      <c r="D22" s="523"/>
      <c r="E22" s="523"/>
      <c r="F22" s="523"/>
      <c r="G22" s="523"/>
      <c r="H22" s="523"/>
      <c r="I22" s="61"/>
      <c r="J22" s="88"/>
      <c r="K22" s="68"/>
      <c r="L22" s="13"/>
      <c r="M22" s="499">
        <v>0</v>
      </c>
    </row>
    <row r="23" spans="1:13" ht="16.5" thickTop="1" thickBot="1" x14ac:dyDescent="0.3">
      <c r="A23" s="69"/>
      <c r="B23" s="128" t="s">
        <v>9</v>
      </c>
      <c r="C23" s="593" t="s">
        <v>141</v>
      </c>
      <c r="D23" s="523"/>
      <c r="E23" s="523"/>
      <c r="F23" s="523"/>
      <c r="G23" s="523"/>
      <c r="H23" s="523"/>
      <c r="I23" s="127"/>
      <c r="J23" s="67"/>
      <c r="K23" s="67"/>
      <c r="L23" s="127"/>
      <c r="M23" s="511">
        <v>0</v>
      </c>
    </row>
    <row r="24" spans="1:13" ht="16.5" thickTop="1" thickBot="1" x14ac:dyDescent="0.3">
      <c r="A24" s="124"/>
      <c r="B24" s="130" t="s">
        <v>21</v>
      </c>
      <c r="C24" s="590" t="s">
        <v>143</v>
      </c>
      <c r="D24" s="523"/>
      <c r="E24" s="523"/>
      <c r="F24" s="523"/>
      <c r="G24" s="523"/>
      <c r="H24" s="523"/>
      <c r="I24" s="124"/>
      <c r="J24" s="68"/>
      <c r="K24" s="68"/>
      <c r="L24" s="13"/>
      <c r="M24" s="499">
        <v>0</v>
      </c>
    </row>
    <row r="25" spans="1:13" ht="16.5" thickTop="1" thickBot="1" x14ac:dyDescent="0.3">
      <c r="A25" s="69"/>
      <c r="B25" s="411" t="s">
        <v>23</v>
      </c>
      <c r="C25" s="593" t="s">
        <v>289</v>
      </c>
      <c r="D25" s="593"/>
      <c r="E25" s="593"/>
      <c r="F25" s="593"/>
      <c r="G25" s="593"/>
      <c r="H25" s="593"/>
      <c r="I25" s="127"/>
      <c r="J25" s="67"/>
      <c r="K25" s="67"/>
      <c r="L25" s="127"/>
      <c r="M25" s="511">
        <v>0</v>
      </c>
    </row>
    <row r="26" spans="1:13" s="34" customFormat="1" ht="16.5" thickTop="1" thickBot="1" x14ac:dyDescent="0.3">
      <c r="A26" s="407"/>
      <c r="B26" s="410" t="s">
        <v>25</v>
      </c>
      <c r="C26" s="114" t="s">
        <v>291</v>
      </c>
      <c r="D26" s="114"/>
      <c r="E26" s="114"/>
      <c r="F26" s="114"/>
      <c r="G26" s="114"/>
      <c r="H26" s="114"/>
      <c r="I26" s="64"/>
      <c r="J26" s="116"/>
      <c r="K26" s="116"/>
      <c r="L26" s="64"/>
      <c r="M26" s="512">
        <v>0</v>
      </c>
    </row>
    <row r="27" spans="1:13" ht="16.5" thickTop="1" thickBot="1" x14ac:dyDescent="0.3">
      <c r="A27" s="392"/>
      <c r="B27" s="390" t="s">
        <v>27</v>
      </c>
      <c r="C27" s="593" t="s">
        <v>142</v>
      </c>
      <c r="D27" s="572"/>
      <c r="E27" s="572"/>
      <c r="F27" s="572"/>
      <c r="G27" s="572"/>
      <c r="H27" s="572"/>
      <c r="I27" s="392"/>
      <c r="J27" s="67"/>
      <c r="K27" s="67"/>
      <c r="L27" s="389"/>
      <c r="M27" s="511">
        <v>0</v>
      </c>
    </row>
    <row r="28" spans="1:13" ht="16.5" thickTop="1" thickBot="1" x14ac:dyDescent="0.3">
      <c r="A28" s="388"/>
      <c r="B28" s="391" t="s">
        <v>29</v>
      </c>
      <c r="C28" s="114" t="s">
        <v>144</v>
      </c>
      <c r="D28" s="114"/>
      <c r="E28" s="114"/>
      <c r="F28" s="114"/>
      <c r="G28" s="114"/>
      <c r="H28" s="114"/>
      <c r="I28" s="64"/>
      <c r="J28" s="116"/>
      <c r="K28" s="116"/>
      <c r="L28" s="64"/>
      <c r="M28" s="512">
        <v>0</v>
      </c>
    </row>
    <row r="29" spans="1:13" ht="16.5" thickTop="1" thickBot="1" x14ac:dyDescent="0.3">
      <c r="A29" s="392"/>
      <c r="B29" s="390" t="s">
        <v>147</v>
      </c>
      <c r="C29" s="593" t="s">
        <v>145</v>
      </c>
      <c r="D29" s="572"/>
      <c r="E29" s="572"/>
      <c r="F29" s="572"/>
      <c r="G29" s="572"/>
      <c r="H29" s="572"/>
      <c r="I29" s="392"/>
      <c r="J29" s="67"/>
      <c r="K29" s="67"/>
      <c r="L29" s="389"/>
      <c r="M29" s="511">
        <v>0</v>
      </c>
    </row>
    <row r="30" spans="1:13" ht="16.5" thickTop="1" thickBot="1" x14ac:dyDescent="0.3">
      <c r="A30" s="388"/>
      <c r="B30" s="391" t="s">
        <v>282</v>
      </c>
      <c r="C30" s="114" t="s">
        <v>146</v>
      </c>
      <c r="D30" s="114"/>
      <c r="E30" s="114"/>
      <c r="F30" s="114"/>
      <c r="G30" s="114"/>
      <c r="H30" s="114"/>
      <c r="I30" s="64"/>
      <c r="J30" s="116"/>
      <c r="K30" s="116"/>
      <c r="L30" s="64"/>
      <c r="M30" s="512">
        <v>0</v>
      </c>
    </row>
    <row r="31" spans="1:13" s="34" customFormat="1" ht="16.5" thickTop="1" thickBot="1" x14ac:dyDescent="0.3">
      <c r="A31" s="392"/>
      <c r="B31" s="390" t="s">
        <v>283</v>
      </c>
      <c r="C31" s="393" t="s">
        <v>148</v>
      </c>
      <c r="D31" s="393"/>
      <c r="E31" s="393"/>
      <c r="F31" s="393"/>
      <c r="G31" s="393"/>
      <c r="H31" s="393"/>
      <c r="I31" s="389"/>
      <c r="J31" s="67"/>
      <c r="K31" s="67"/>
      <c r="L31" s="389"/>
      <c r="M31" s="511">
        <v>0</v>
      </c>
    </row>
    <row r="32" spans="1:13" s="34" customFormat="1" ht="9" customHeight="1" thickTop="1" x14ac:dyDescent="0.25">
      <c r="A32" s="44"/>
      <c r="D32" s="133"/>
      <c r="E32" s="133"/>
      <c r="F32" s="133"/>
      <c r="G32" s="151"/>
      <c r="H32" s="64"/>
      <c r="I32" s="126"/>
      <c r="J32" s="126"/>
      <c r="K32" s="126"/>
      <c r="L32" s="64"/>
      <c r="M32" s="94"/>
    </row>
    <row r="33" spans="1:13" ht="15" customHeight="1" x14ac:dyDescent="0.25">
      <c r="A33" s="12"/>
      <c r="B33" s="12" t="s">
        <v>149</v>
      </c>
      <c r="C33" s="12"/>
      <c r="D33" s="12"/>
      <c r="E33" s="12"/>
      <c r="F33" s="12"/>
      <c r="G33" s="12"/>
      <c r="H33" s="12"/>
      <c r="I33" s="137">
        <f>I18</f>
        <v>20266877.400000002</v>
      </c>
      <c r="J33" s="12"/>
      <c r="K33" s="137">
        <f>K18</f>
        <v>10719168.969999999</v>
      </c>
      <c r="L33" s="12"/>
      <c r="M33" s="137">
        <f>SUM(M18:M31)</f>
        <v>9547708.4300000034</v>
      </c>
    </row>
    <row r="34" spans="1:13" ht="15" customHeight="1" x14ac:dyDescent="0.25">
      <c r="A34" s="12"/>
      <c r="B34" s="12" t="s">
        <v>294</v>
      </c>
      <c r="C34" s="12"/>
      <c r="D34" s="12"/>
      <c r="E34" s="12"/>
      <c r="F34" s="431">
        <v>43862</v>
      </c>
      <c r="G34" s="12"/>
      <c r="H34" s="12"/>
      <c r="I34" s="137">
        <v>21412558.57</v>
      </c>
      <c r="J34" s="12"/>
      <c r="K34" s="137">
        <v>13312378.890000001</v>
      </c>
      <c r="L34" s="12"/>
      <c r="M34" s="137">
        <v>8100179.6799999997</v>
      </c>
    </row>
    <row r="35" spans="1:13" ht="15" customHeight="1" x14ac:dyDescent="0.25">
      <c r="A35" s="12"/>
      <c r="B35" s="12" t="s">
        <v>295</v>
      </c>
      <c r="C35" s="12"/>
      <c r="D35" s="12"/>
      <c r="E35" s="12"/>
      <c r="F35" s="12"/>
      <c r="G35" s="12"/>
      <c r="H35" s="12"/>
      <c r="I35" s="137">
        <f>I33-I34</f>
        <v>-1145681.1699999981</v>
      </c>
      <c r="J35" s="12"/>
      <c r="K35" s="137">
        <f>K33-K34</f>
        <v>-2593209.9200000018</v>
      </c>
      <c r="L35" s="12"/>
      <c r="M35" s="137">
        <f>M33-M34</f>
        <v>1447528.7500000037</v>
      </c>
    </row>
    <row r="36" spans="1:13" ht="9" customHeight="1" x14ac:dyDescent="0.25"/>
    <row r="37" spans="1:13" s="129" customFormat="1" x14ac:dyDescent="0.25">
      <c r="B37" s="564" t="s">
        <v>151</v>
      </c>
      <c r="C37" s="523"/>
      <c r="D37" s="523"/>
      <c r="E37" s="523"/>
      <c r="F37" s="523"/>
      <c r="G37" s="523"/>
      <c r="H37" s="523"/>
      <c r="I37" s="8" t="s">
        <v>152</v>
      </c>
      <c r="J37" s="138">
        <f>K11/I11</f>
        <v>0.56833601263113176</v>
      </c>
      <c r="L37" s="8" t="s">
        <v>153</v>
      </c>
      <c r="M37" s="140">
        <f>M11/I11</f>
        <v>0.4316639873688683</v>
      </c>
    </row>
    <row r="38" spans="1:13" s="129" customFormat="1" x14ac:dyDescent="0.25">
      <c r="B38" s="564" t="s">
        <v>154</v>
      </c>
      <c r="C38" s="523"/>
      <c r="D38" s="523"/>
      <c r="E38" s="523"/>
      <c r="F38" s="523"/>
      <c r="G38" s="523"/>
      <c r="H38" s="523"/>
      <c r="I38" s="8" t="s">
        <v>152</v>
      </c>
      <c r="J38" s="138">
        <f>K18/I18</f>
        <v>0.52890086412621207</v>
      </c>
      <c r="L38" s="8" t="s">
        <v>153</v>
      </c>
      <c r="M38" s="140">
        <f>M18/I18</f>
        <v>0.47109913587378793</v>
      </c>
    </row>
    <row r="39" spans="1:13" s="129" customFormat="1" ht="9" customHeight="1" x14ac:dyDescent="0.25">
      <c r="G39" s="145"/>
    </row>
    <row r="40" spans="1:13" s="129" customFormat="1" x14ac:dyDescent="0.25">
      <c r="B40" s="129" t="s">
        <v>155</v>
      </c>
      <c r="G40" s="145"/>
      <c r="I40" s="139">
        <f>'Page 2'!Q50+'Page 3'!Q18+'Page 3'!Q16+'Page 3'!Q37</f>
        <v>21412558.57</v>
      </c>
    </row>
    <row r="44" spans="1:13" x14ac:dyDescent="0.25">
      <c r="A44" s="6"/>
    </row>
    <row r="45" spans="1:13" x14ac:dyDescent="0.25">
      <c r="A45" s="6" t="s">
        <v>276</v>
      </c>
      <c r="B45" s="184" t="s">
        <v>156</v>
      </c>
      <c r="I45" s="540" t="s">
        <v>159</v>
      </c>
      <c r="J45" s="540"/>
      <c r="K45" s="540"/>
    </row>
    <row r="46" spans="1:13" ht="60" x14ac:dyDescent="0.25">
      <c r="A46" s="6"/>
      <c r="B46" s="145"/>
      <c r="D46" s="181" t="s">
        <v>235</v>
      </c>
      <c r="E46" s="181" t="s">
        <v>237</v>
      </c>
      <c r="F46" s="181" t="s">
        <v>236</v>
      </c>
      <c r="G46" s="141" t="s">
        <v>240</v>
      </c>
      <c r="H46" s="181" t="s">
        <v>238</v>
      </c>
      <c r="I46" s="181" t="s">
        <v>292</v>
      </c>
      <c r="J46" s="149" t="s">
        <v>133</v>
      </c>
      <c r="K46" s="152" t="s">
        <v>134</v>
      </c>
      <c r="L46" s="143" t="s">
        <v>157</v>
      </c>
      <c r="M46" s="149" t="s">
        <v>158</v>
      </c>
    </row>
    <row r="47" spans="1:13" ht="6" customHeight="1" thickBot="1" x14ac:dyDescent="0.3">
      <c r="A47" s="6"/>
      <c r="B47" s="145"/>
      <c r="D47" s="179"/>
      <c r="E47" s="179"/>
      <c r="F47" s="179"/>
      <c r="G47" s="179"/>
      <c r="H47" s="179"/>
      <c r="I47" s="179"/>
      <c r="J47" s="142"/>
      <c r="K47" s="142"/>
      <c r="L47" s="142"/>
      <c r="M47" s="142"/>
    </row>
    <row r="48" spans="1:13" ht="16.5" thickTop="1" thickBot="1" x14ac:dyDescent="0.3">
      <c r="A48" s="309" t="s">
        <v>6</v>
      </c>
      <c r="B48" s="518" t="str">
        <f>IF('Page 4'!C13="","",'Page 4'!C13)</f>
        <v>Arrowsic</v>
      </c>
      <c r="C48" s="310"/>
      <c r="D48" s="249">
        <f>T72</f>
        <v>121653.9</v>
      </c>
      <c r="E48" s="249">
        <f>ROUND($M$13*'Page 4'!R41,2)</f>
        <v>0</v>
      </c>
      <c r="F48" s="249">
        <f>ROUND($M$14*'Page 4'!R41,2)</f>
        <v>0</v>
      </c>
      <c r="G48" s="511">
        <v>0</v>
      </c>
      <c r="H48" s="249">
        <f>ROUND($M$16*'Page 4'!R41,2)</f>
        <v>0</v>
      </c>
      <c r="I48" s="260"/>
      <c r="J48" s="249">
        <f>'Page 4'!I41:I41</f>
        <v>531600.18999999994</v>
      </c>
      <c r="K48" s="250">
        <f>'Page 4'!K41-'Page 5'!D48-'Page 5'!E48-'Page 5'!F48-'Page 5'!G48-'Page 5'!H48-I48</f>
        <v>409946.28999999992</v>
      </c>
      <c r="L48" s="252">
        <f>K48/$K$59</f>
        <v>3.8244223143354357E-2</v>
      </c>
      <c r="M48" s="67">
        <f>IF('Page 4'!E27=0,"",K48/('Page 4'!E27/1000))</f>
        <v>4.5524296501943358</v>
      </c>
    </row>
    <row r="49" spans="1:13" s="34" customFormat="1" ht="16.5" thickTop="1" thickBot="1" x14ac:dyDescent="0.3">
      <c r="A49" s="384" t="s">
        <v>8</v>
      </c>
      <c r="B49" s="403" t="str">
        <f>IF('Page 4'!C14="","",'Page 4'!C14)</f>
        <v>Bath</v>
      </c>
      <c r="D49" s="402">
        <f>T73</f>
        <v>0</v>
      </c>
      <c r="E49" s="402">
        <f>ROUND($M$13*'Page 4'!R42,2)</f>
        <v>0</v>
      </c>
      <c r="F49" s="402">
        <f>ROUND($M$14*'Page 4'!R42,2)</f>
        <v>0</v>
      </c>
      <c r="G49" s="512">
        <v>0</v>
      </c>
      <c r="H49" s="402">
        <f>ROUND($M$16*'Page 4'!R42,2)</f>
        <v>0</v>
      </c>
      <c r="I49" s="387"/>
      <c r="J49" s="402">
        <f>'Page 4'!I42:I42</f>
        <v>16648429.109999999</v>
      </c>
      <c r="K49" s="251">
        <f>'Page 4'!K42-'Page 5'!D49-'Page 5'!E49-'Page 5'!F49-'Page 5'!G49-'Page 5'!H49-I49</f>
        <v>7899948</v>
      </c>
      <c r="L49" s="404">
        <f>K49/$K$59</f>
        <v>0.73699258049852345</v>
      </c>
      <c r="M49" s="116">
        <f>IF('Page 4'!E28=0,"",K49/('Page 4'!E28/1000))</f>
        <v>8.2799999999999994</v>
      </c>
    </row>
    <row r="50" spans="1:13" ht="16.5" thickTop="1" thickBot="1" x14ac:dyDescent="0.3">
      <c r="A50" s="449" t="s">
        <v>9</v>
      </c>
      <c r="B50" s="453" t="str">
        <f>IF('Page 4'!C15="","",'Page 4'!C15)</f>
        <v>Phippsburg</v>
      </c>
      <c r="C50" s="451"/>
      <c r="D50" s="249">
        <f>T74</f>
        <v>677573.42</v>
      </c>
      <c r="E50" s="249">
        <f>ROUND($M$13*'Page 4'!R43,2)</f>
        <v>0</v>
      </c>
      <c r="F50" s="249">
        <f>ROUND($M$14*'Page 4'!R43,2)</f>
        <v>0</v>
      </c>
      <c r="G50" s="511">
        <v>0</v>
      </c>
      <c r="H50" s="249">
        <f>ROUND($M$16*'Page 4'!R43,2)</f>
        <v>0</v>
      </c>
      <c r="I50" s="260"/>
      <c r="J50" s="249">
        <f>'Page 4'!I43:I43</f>
        <v>3086848.1</v>
      </c>
      <c r="K50" s="250">
        <f>'Page 4'!K43-'Page 5'!D50-'Page 5'!E50-'Page 5'!F50-'Page 5'!G50-'Page 5'!H50-I50</f>
        <v>2409274.6800000002</v>
      </c>
      <c r="L50" s="252">
        <f>K50/$K$59</f>
        <v>0.22476319635812217</v>
      </c>
      <c r="M50" s="67">
        <f>IF('Page 4'!E29=0,"",K50/('Page 4'!E29/1000))</f>
        <v>3.8013169454086464</v>
      </c>
    </row>
    <row r="51" spans="1:13" s="34" customFormat="1" ht="16.5" thickTop="1" thickBot="1" x14ac:dyDescent="0.3">
      <c r="A51" s="448" t="s">
        <v>21</v>
      </c>
      <c r="B51" s="403" t="str">
        <f>IF('Page 4'!C16="","",'Page 4'!C16)</f>
        <v/>
      </c>
      <c r="C51" s="450"/>
      <c r="D51" s="402">
        <f>T75</f>
        <v>0</v>
      </c>
      <c r="E51" s="402">
        <f>ROUND($M$13*'Page 4'!R44,2)</f>
        <v>0</v>
      </c>
      <c r="F51" s="402">
        <f>ROUND($M$14*'Page 4'!R44,2)</f>
        <v>0</v>
      </c>
      <c r="G51" s="512">
        <v>0</v>
      </c>
      <c r="H51" s="402">
        <f>ROUND($M$16*'Page 4'!R44,2)</f>
        <v>0</v>
      </c>
      <c r="I51" s="387"/>
      <c r="J51" s="402">
        <f>'Page 4'!I44:I44</f>
        <v>0</v>
      </c>
      <c r="K51" s="251">
        <f>'Page 4'!K44-'Page 5'!D51-'Page 5'!E51-'Page 5'!F51-'Page 5'!G51-'Page 5'!H51-I51</f>
        <v>0</v>
      </c>
      <c r="L51" s="404">
        <f>K51/$K$59</f>
        <v>0</v>
      </c>
      <c r="M51" s="116" t="str">
        <f>IF('Page 4'!E30=0,"",K51/('Page 4'!E30/1000))</f>
        <v/>
      </c>
    </row>
    <row r="52" spans="1:13" s="34" customFormat="1" ht="16.5" thickTop="1" thickBot="1" x14ac:dyDescent="0.3">
      <c r="A52" s="517" t="s">
        <v>23</v>
      </c>
      <c r="B52" s="518" t="str">
        <f>IF('Page 4'!C17="","",'Page 4'!C17)</f>
        <v/>
      </c>
      <c r="C52" s="520"/>
      <c r="D52" s="249">
        <f t="shared" ref="D52:D57" si="0">T76</f>
        <v>0</v>
      </c>
      <c r="E52" s="249">
        <f>ROUND($M$13*'Page 4'!R45,2)</f>
        <v>0</v>
      </c>
      <c r="F52" s="249">
        <f>ROUND($M$14*'Page 4'!R45,2)</f>
        <v>0</v>
      </c>
      <c r="G52" s="511">
        <v>0</v>
      </c>
      <c r="H52" s="249">
        <f>ROUND($M$16*'Page 4'!R45,2)</f>
        <v>0</v>
      </c>
      <c r="I52" s="260"/>
      <c r="J52" s="249">
        <f>'Page 4'!I45:I45</f>
        <v>0</v>
      </c>
      <c r="K52" s="250">
        <f>'Page 4'!K45-'Page 5'!D52-'Page 5'!E52-'Page 5'!F52-'Page 5'!G52-'Page 5'!H52-I52</f>
        <v>0</v>
      </c>
      <c r="L52" s="252">
        <f t="shared" ref="L52:L57" si="1">K52/$K$59</f>
        <v>0</v>
      </c>
      <c r="M52" s="67" t="str">
        <f>IF('Page 4'!E31=0,"",K52/('Page 4'!E31/1000))</f>
        <v/>
      </c>
    </row>
    <row r="53" spans="1:13" s="34" customFormat="1" ht="16.5" thickTop="1" thickBot="1" x14ac:dyDescent="0.3">
      <c r="A53" s="516" t="s">
        <v>25</v>
      </c>
      <c r="B53" s="403" t="str">
        <f>IF('Page 4'!C18="","",'Page 4'!C18)</f>
        <v/>
      </c>
      <c r="C53" s="519"/>
      <c r="D53" s="402">
        <f t="shared" si="0"/>
        <v>0</v>
      </c>
      <c r="E53" s="402">
        <f>ROUND($M$13*'Page 4'!R46,2)</f>
        <v>0</v>
      </c>
      <c r="F53" s="402">
        <f>ROUND($M$14*'Page 4'!R46,2)</f>
        <v>0</v>
      </c>
      <c r="G53" s="512">
        <v>0</v>
      </c>
      <c r="H53" s="402">
        <f>ROUND($M$16*'Page 4'!R46,2)</f>
        <v>0</v>
      </c>
      <c r="I53" s="387"/>
      <c r="J53" s="402">
        <f>'Page 4'!I46:I46</f>
        <v>0</v>
      </c>
      <c r="K53" s="251">
        <f>'Page 4'!K46-'Page 5'!D53-'Page 5'!E53-'Page 5'!F53-'Page 5'!G53-'Page 5'!H53-I53</f>
        <v>0</v>
      </c>
      <c r="L53" s="404">
        <f t="shared" si="1"/>
        <v>0</v>
      </c>
      <c r="M53" s="116" t="str">
        <f>IF('Page 4'!E32=0,"",K53/('Page 4'!E32/1000))</f>
        <v/>
      </c>
    </row>
    <row r="54" spans="1:13" s="34" customFormat="1" ht="16.5" thickTop="1" thickBot="1" x14ac:dyDescent="0.3">
      <c r="A54" s="517" t="s">
        <v>27</v>
      </c>
      <c r="B54" s="518" t="str">
        <f>IF('Page 4'!C19="","",'Page 4'!C19)</f>
        <v/>
      </c>
      <c r="C54" s="520"/>
      <c r="D54" s="249">
        <f t="shared" si="0"/>
        <v>0</v>
      </c>
      <c r="E54" s="249">
        <f>ROUND($M$13*'Page 4'!R47,2)</f>
        <v>0</v>
      </c>
      <c r="F54" s="249">
        <f>ROUND($M$14*'Page 4'!R47,2)</f>
        <v>0</v>
      </c>
      <c r="G54" s="511">
        <v>0</v>
      </c>
      <c r="H54" s="249">
        <f>ROUND($M$16*'Page 4'!R47,2)</f>
        <v>0</v>
      </c>
      <c r="I54" s="260"/>
      <c r="J54" s="249">
        <f>'Page 4'!I47:I47</f>
        <v>0</v>
      </c>
      <c r="K54" s="250">
        <f>'Page 4'!K47-'Page 5'!D54-'Page 5'!E54-'Page 5'!F54-'Page 5'!G54-'Page 5'!H54-I54</f>
        <v>0</v>
      </c>
      <c r="L54" s="252">
        <f t="shared" si="1"/>
        <v>0</v>
      </c>
      <c r="M54" s="67" t="str">
        <f>IF('Page 4'!E33=0,"",K54/('Page 4'!E33/1000))</f>
        <v/>
      </c>
    </row>
    <row r="55" spans="1:13" s="34" customFormat="1" ht="16.5" thickTop="1" thickBot="1" x14ac:dyDescent="0.3">
      <c r="A55" s="516" t="s">
        <v>29</v>
      </c>
      <c r="B55" s="403" t="str">
        <f>IF('Page 4'!C20="","",'Page 4'!C20)</f>
        <v/>
      </c>
      <c r="C55" s="519"/>
      <c r="D55" s="402">
        <f t="shared" si="0"/>
        <v>0</v>
      </c>
      <c r="E55" s="402">
        <f>ROUND($M$13*'Page 4'!R48,2)</f>
        <v>0</v>
      </c>
      <c r="F55" s="402">
        <f>ROUND($M$14*'Page 4'!R48,2)</f>
        <v>0</v>
      </c>
      <c r="G55" s="512">
        <v>0</v>
      </c>
      <c r="H55" s="402">
        <f>ROUND($M$16*'Page 4'!R48,2)</f>
        <v>0</v>
      </c>
      <c r="I55" s="387"/>
      <c r="J55" s="402">
        <f>'Page 4'!I48:I48</f>
        <v>0</v>
      </c>
      <c r="K55" s="251">
        <f>'Page 4'!K48-'Page 5'!D55-'Page 5'!E55-'Page 5'!F55-'Page 5'!G55-'Page 5'!H55-I55</f>
        <v>0</v>
      </c>
      <c r="L55" s="404">
        <f t="shared" si="1"/>
        <v>0</v>
      </c>
      <c r="M55" s="116" t="str">
        <f>IF('Page 4'!E34=0,"",K55/('Page 4'!E34/1000))</f>
        <v/>
      </c>
    </row>
    <row r="56" spans="1:13" s="34" customFormat="1" ht="16.5" thickTop="1" thickBot="1" x14ac:dyDescent="0.3">
      <c r="A56" s="517" t="s">
        <v>147</v>
      </c>
      <c r="B56" s="518" t="str">
        <f>IF('Page 4'!C21="","",'Page 4'!C21)</f>
        <v/>
      </c>
      <c r="C56" s="520"/>
      <c r="D56" s="249">
        <f t="shared" si="0"/>
        <v>0</v>
      </c>
      <c r="E56" s="249">
        <f>ROUND($M$13*'Page 4'!R49,2)</f>
        <v>0</v>
      </c>
      <c r="F56" s="249">
        <f>ROUND($M$14*'Page 4'!R49,2)</f>
        <v>0</v>
      </c>
      <c r="G56" s="511">
        <v>0</v>
      </c>
      <c r="H56" s="249">
        <f>ROUND($M$16*'Page 4'!R49,2)</f>
        <v>0</v>
      </c>
      <c r="I56" s="260"/>
      <c r="J56" s="249">
        <f>'Page 4'!I49:I49</f>
        <v>0</v>
      </c>
      <c r="K56" s="250">
        <f>'Page 4'!K49-'Page 5'!D56-'Page 5'!E56-'Page 5'!F56-'Page 5'!G56-'Page 5'!H56-I56</f>
        <v>0</v>
      </c>
      <c r="L56" s="252">
        <f t="shared" si="1"/>
        <v>0</v>
      </c>
      <c r="M56" s="67" t="str">
        <f>IF('Page 4'!E35=0,"",K56/('Page 4'!E35/1000))</f>
        <v/>
      </c>
    </row>
    <row r="57" spans="1:13" s="34" customFormat="1" ht="16.5" thickTop="1" thickBot="1" x14ac:dyDescent="0.3">
      <c r="A57" s="516" t="s">
        <v>282</v>
      </c>
      <c r="B57" s="403" t="str">
        <f>IF('Page 4'!C22="","",'Page 4'!C22)</f>
        <v/>
      </c>
      <c r="C57" s="519"/>
      <c r="D57" s="402">
        <f t="shared" si="0"/>
        <v>0</v>
      </c>
      <c r="E57" s="402">
        <f>ROUND($M$13*'Page 4'!R50,2)</f>
        <v>0</v>
      </c>
      <c r="F57" s="402">
        <f>ROUND($M$14*'Page 4'!R50,2)</f>
        <v>0</v>
      </c>
      <c r="G57" s="512">
        <v>0</v>
      </c>
      <c r="H57" s="402">
        <f>ROUND($M$16*'Page 4'!R50,2)</f>
        <v>0</v>
      </c>
      <c r="I57" s="387"/>
      <c r="J57" s="402">
        <f>'Page 4'!I50:I50</f>
        <v>0</v>
      </c>
      <c r="K57" s="251">
        <f>'Page 4'!K50-'Page 5'!D57-'Page 5'!E57-'Page 5'!F57-'Page 5'!G57-'Page 5'!H57-I57</f>
        <v>0</v>
      </c>
      <c r="L57" s="404">
        <f t="shared" si="1"/>
        <v>0</v>
      </c>
      <c r="M57" s="116" t="str">
        <f>IF('Page 4'!E36=0,"",K57/('Page 4'!E36/1000))</f>
        <v/>
      </c>
    </row>
    <row r="58" spans="1:13" s="34" customFormat="1" ht="9" customHeight="1" thickTop="1" x14ac:dyDescent="0.25">
      <c r="A58" s="44"/>
      <c r="D58" s="180"/>
      <c r="E58" s="180"/>
      <c r="F58" s="180"/>
      <c r="G58" s="180"/>
      <c r="H58" s="402"/>
      <c r="I58" s="180"/>
      <c r="J58" s="144"/>
      <c r="K58" s="144"/>
      <c r="L58" s="64"/>
      <c r="M58" s="94"/>
    </row>
    <row r="59" spans="1:13" ht="15" customHeight="1" x14ac:dyDescent="0.25">
      <c r="A59" s="148"/>
      <c r="B59" s="6" t="s">
        <v>160</v>
      </c>
      <c r="C59" s="148"/>
      <c r="D59" s="123"/>
      <c r="E59" s="123"/>
      <c r="F59" s="123"/>
      <c r="G59" s="123">
        <f>SUM(G48:G58)</f>
        <v>0</v>
      </c>
      <c r="H59" s="123"/>
      <c r="I59" s="123">
        <f>SUM(I48:I58)</f>
        <v>0</v>
      </c>
      <c r="J59" s="123">
        <f>SUM(J48:J58)</f>
        <v>20266877.400000002</v>
      </c>
      <c r="K59" s="122">
        <f>SUM(K48:K58)</f>
        <v>10719168.970000001</v>
      </c>
      <c r="L59" s="253">
        <f>SUM(L48:L58)</f>
        <v>1</v>
      </c>
      <c r="M59" s="94">
        <f>K59/('Page 4'!E37/1000)</f>
        <v>6.3882529098006504</v>
      </c>
    </row>
    <row r="64" spans="1:13" x14ac:dyDescent="0.25">
      <c r="A64" s="172" t="s">
        <v>189</v>
      </c>
    </row>
    <row r="66" spans="1:20" x14ac:dyDescent="0.25">
      <c r="A66" s="184" t="s">
        <v>190</v>
      </c>
    </row>
    <row r="68" spans="1:20" x14ac:dyDescent="0.25">
      <c r="J68" s="350"/>
      <c r="K68" s="263"/>
      <c r="M68" s="195"/>
    </row>
    <row r="69" spans="1:20" s="348" customFormat="1" x14ac:dyDescent="0.25">
      <c r="J69" s="348" t="s">
        <v>252</v>
      </c>
      <c r="K69" s="354" t="s">
        <v>255</v>
      </c>
      <c r="M69" s="355" t="s">
        <v>258</v>
      </c>
      <c r="N69" s="348" t="s">
        <v>261</v>
      </c>
      <c r="O69" s="348" t="s">
        <v>246</v>
      </c>
      <c r="P69" s="348" t="s">
        <v>265</v>
      </c>
      <c r="Q69" s="348" t="s">
        <v>267</v>
      </c>
      <c r="R69" s="348" t="s">
        <v>269</v>
      </c>
      <c r="S69" s="348" t="s">
        <v>272</v>
      </c>
    </row>
    <row r="70" spans="1:20" s="348" customFormat="1" x14ac:dyDescent="0.25">
      <c r="D70" s="348" t="s">
        <v>241</v>
      </c>
      <c r="E70" s="348" t="s">
        <v>243</v>
      </c>
      <c r="F70" s="348" t="s">
        <v>245</v>
      </c>
      <c r="G70" s="348" t="s">
        <v>247</v>
      </c>
      <c r="H70" s="348" t="s">
        <v>249</v>
      </c>
      <c r="I70" s="348" t="s">
        <v>254</v>
      </c>
      <c r="J70" s="348" t="s">
        <v>253</v>
      </c>
      <c r="K70" s="348" t="s">
        <v>256</v>
      </c>
      <c r="M70" s="348" t="s">
        <v>259</v>
      </c>
      <c r="N70" s="348" t="s">
        <v>262</v>
      </c>
      <c r="O70" s="348" t="s">
        <v>263</v>
      </c>
      <c r="P70" s="348" t="s">
        <v>266</v>
      </c>
      <c r="Q70" s="348" t="s">
        <v>268</v>
      </c>
      <c r="R70" s="348" t="s">
        <v>270</v>
      </c>
      <c r="S70" s="348" t="s">
        <v>257</v>
      </c>
      <c r="T70" s="348" t="s">
        <v>274</v>
      </c>
    </row>
    <row r="71" spans="1:20" s="348" customFormat="1" x14ac:dyDescent="0.25">
      <c r="D71" s="348" t="s">
        <v>242</v>
      </c>
      <c r="E71" s="348" t="s">
        <v>244</v>
      </c>
      <c r="F71" s="348" t="s">
        <v>246</v>
      </c>
      <c r="G71" s="348" t="s">
        <v>248</v>
      </c>
      <c r="H71" s="348" t="s">
        <v>250</v>
      </c>
      <c r="I71" s="348" t="s">
        <v>251</v>
      </c>
      <c r="J71" s="348">
        <v>0.26</v>
      </c>
      <c r="K71" s="348" t="s">
        <v>257</v>
      </c>
      <c r="M71" s="348" t="s">
        <v>260</v>
      </c>
      <c r="N71" s="348" t="s">
        <v>250</v>
      </c>
      <c r="O71" s="348" t="s">
        <v>264</v>
      </c>
      <c r="P71" s="356">
        <v>8.1799999999999998E-3</v>
      </c>
      <c r="Q71" s="348" t="s">
        <v>191</v>
      </c>
      <c r="R71" s="348" t="s">
        <v>271</v>
      </c>
      <c r="S71" s="348" t="s">
        <v>273</v>
      </c>
      <c r="T71" s="348" t="s">
        <v>275</v>
      </c>
    </row>
    <row r="72" spans="1:20" x14ac:dyDescent="0.25">
      <c r="A72" s="36" t="s">
        <v>6</v>
      </c>
      <c r="B72" s="37" t="str">
        <f>B48</f>
        <v>Arrowsic</v>
      </c>
      <c r="C72" s="37"/>
      <c r="D72" s="349" t="str">
        <f>IF('Page 4'!K13-(ROUND('Page 3'!$Q$35*'Page 4'!G13,2))&gt;0,"Y","N")</f>
        <v>Y</v>
      </c>
      <c r="E72" s="351">
        <f>'Page 4'!M41</f>
        <v>5.9</v>
      </c>
      <c r="F72" s="352">
        <f>IF(D72="Y",'Page 4'!I41," ")</f>
        <v>531600.18999999994</v>
      </c>
      <c r="G72" s="352">
        <f>IF(D72="Y",'Page 4'!K13," ")</f>
        <v>145066.9</v>
      </c>
      <c r="H72" s="268">
        <f>IF(D72="Y",'Page 4'!P41," ")</f>
        <v>0</v>
      </c>
      <c r="I72" s="353">
        <f>IF(D72="Y",'Page 4'!E27," ")</f>
        <v>90050000</v>
      </c>
      <c r="J72" s="352">
        <f>IF(D72="Y",I72*(0.001*$J$71)," ")</f>
        <v>23413.000000000004</v>
      </c>
      <c r="K72" s="352">
        <f>IF(J72=" "," ",IF(J72&gt;G72,G72,J72))</f>
        <v>23413.000000000004</v>
      </c>
      <c r="M72" s="352">
        <f>IF(D72="Y",G72-K72," ")</f>
        <v>121653.9</v>
      </c>
      <c r="N72" s="347" t="str">
        <f>IF(D72="Y",IF(M72&gt;H72,"Y"," ")," ")</f>
        <v>Y</v>
      </c>
      <c r="O72" s="352">
        <f>IF(N72="Y",F72-G72," ")</f>
        <v>386533.28999999992</v>
      </c>
      <c r="P72" s="352">
        <f>IF(N72="Y",I72*$P$71," ")</f>
        <v>736609</v>
      </c>
      <c r="Q72" s="352">
        <f>IF(O72&lt;P72,O72,P72)</f>
        <v>386533.28999999992</v>
      </c>
      <c r="R72" s="352">
        <f>IF(N72="Y",IF(G72&gt;0,K72+Q72," ")," ")</f>
        <v>409946.28999999992</v>
      </c>
      <c r="S72" s="352">
        <f>IF(N72="Y",F72-R72," ")</f>
        <v>121653.90000000002</v>
      </c>
      <c r="T72" s="352">
        <f>ROUND(IF(S72=" ", 0,IF((S72-H72)&lt;0,0,S72-H72)),2)</f>
        <v>121653.9</v>
      </c>
    </row>
    <row r="73" spans="1:20" x14ac:dyDescent="0.25">
      <c r="A73" s="36" t="s">
        <v>8</v>
      </c>
      <c r="B73" s="37" t="str">
        <f t="shared" ref="A73:B75" si="2">B49</f>
        <v>Bath</v>
      </c>
      <c r="C73" s="37"/>
      <c r="D73" s="382" t="str">
        <f>IF('Page 4'!K14-(ROUND('Page 3'!$Q$35*'Page 4'!G14,2))&gt;0,"Y","N")</f>
        <v>Y</v>
      </c>
      <c r="E73" s="351">
        <f>'Page 4'!M42</f>
        <v>8.2799999999999994</v>
      </c>
      <c r="F73" s="352">
        <f>IF(D73="Y",'Page 4'!I42," ")</f>
        <v>16648429.109999999</v>
      </c>
      <c r="G73" s="352">
        <f>IF(D73="Y",'Page 4'!K14," ")</f>
        <v>4543143.6399999997</v>
      </c>
      <c r="H73" s="268">
        <f>IF(D73="Y",'Page 4'!P42," ")</f>
        <v>8748481.1099999994</v>
      </c>
      <c r="I73" s="353">
        <f>IF(D73="Y",'Page 4'!E28," ")</f>
        <v>954100000</v>
      </c>
      <c r="J73" s="352">
        <f>IF(D73="Y",I73*(0.001*$J$71)," ")</f>
        <v>248066.00000000003</v>
      </c>
      <c r="K73" s="352">
        <f>IF(J73=" "," ",IF(J73&gt;G73,G73,J73))</f>
        <v>248066.00000000003</v>
      </c>
      <c r="M73" s="352">
        <f>IF(D73="Y",G73-K73," ")</f>
        <v>4295077.6399999997</v>
      </c>
      <c r="N73" s="381" t="str">
        <f>IF(D73="Y",IF(M73&gt;H73,"Y"," ")," ")</f>
        <v xml:space="preserve"> </v>
      </c>
      <c r="O73" s="352" t="str">
        <f>IF(N73="Y",F73-G73," ")</f>
        <v xml:space="preserve"> </v>
      </c>
      <c r="P73" s="352" t="str">
        <f>IF(N73="Y",I73*$P$71," ")</f>
        <v xml:space="preserve"> </v>
      </c>
      <c r="Q73" s="352" t="str">
        <f>IF(O73&lt;P73,O73,P73)</f>
        <v xml:space="preserve"> </v>
      </c>
      <c r="R73" s="352" t="str">
        <f>IF(N73="Y",IF(G73&gt;0,K73+Q73," ")," ")</f>
        <v xml:space="preserve"> </v>
      </c>
      <c r="S73" s="352" t="str">
        <f>IF(N73="Y",F73-R73," ")</f>
        <v xml:space="preserve"> </v>
      </c>
      <c r="T73" s="352">
        <f>ROUND(IF(S73=" ", 0,IF((S73-H73)&lt;0,0,S73-H73)),2)</f>
        <v>0</v>
      </c>
    </row>
    <row r="74" spans="1:20" x14ac:dyDescent="0.25">
      <c r="A74" s="36" t="s">
        <v>9</v>
      </c>
      <c r="B74" s="37" t="str">
        <f t="shared" si="2"/>
        <v>Phippsburg</v>
      </c>
      <c r="C74" s="37"/>
      <c r="D74" s="382" t="str">
        <f>IF('Page 4'!K15-(ROUND('Page 3'!$Q$35*'Page 4'!G15,2))&gt;0,"Y","N")</f>
        <v>Y</v>
      </c>
      <c r="E74" s="351">
        <f>'Page 4'!M43</f>
        <v>4.87</v>
      </c>
      <c r="F74" s="352">
        <f>IF(D74="Y",'Page 4'!I43," ")</f>
        <v>3086848.1</v>
      </c>
      <c r="G74" s="352">
        <f>IF(D74="Y",'Page 4'!K15," ")</f>
        <v>842361.42</v>
      </c>
      <c r="H74" s="268">
        <f>IF(D74="Y",'Page 4'!P43," ")</f>
        <v>0</v>
      </c>
      <c r="I74" s="353">
        <f>IF(D74="Y",'Page 4'!E29," ")</f>
        <v>633800000</v>
      </c>
      <c r="J74" s="352">
        <f>IF(D74="Y",I74*(0.001*$J$71)," ")</f>
        <v>164788.00000000003</v>
      </c>
      <c r="K74" s="352">
        <f>IF(J74=" "," ",IF(J74&gt;G74,G74,J74))</f>
        <v>164788.00000000003</v>
      </c>
      <c r="M74" s="352">
        <f>IF(D74="Y",G74-K74," ")</f>
        <v>677573.42</v>
      </c>
      <c r="N74" s="444" t="str">
        <f>IF(D74="Y",IF(M74&gt;H74,"Y"," ")," ")</f>
        <v>Y</v>
      </c>
      <c r="O74" s="352">
        <f>IF(N74="Y",F74-G74," ")</f>
        <v>2244486.6800000002</v>
      </c>
      <c r="P74" s="352">
        <f>IF(N74="Y",I74*$P$71," ")</f>
        <v>5184484</v>
      </c>
      <c r="Q74" s="352">
        <f>IF(O74&lt;P74,O74,P74)</f>
        <v>2244486.6800000002</v>
      </c>
      <c r="R74" s="352">
        <f>IF(N74="Y",IF(G74&gt;0,K74+Q74," ")," ")</f>
        <v>2409274.6800000002</v>
      </c>
      <c r="S74" s="352">
        <f>IF(N74="Y",F74-R74," ")</f>
        <v>677573.41999999993</v>
      </c>
      <c r="T74" s="352">
        <f>ROUND(IF(S74=" ", 0,IF((S74-H74)&lt;0,0,S74-H74)),2)</f>
        <v>677573.42</v>
      </c>
    </row>
    <row r="75" spans="1:20" x14ac:dyDescent="0.25">
      <c r="A75" s="36" t="s">
        <v>21</v>
      </c>
      <c r="B75" s="37" t="str">
        <f t="shared" si="2"/>
        <v/>
      </c>
      <c r="C75" s="37"/>
      <c r="D75" s="382" t="str">
        <f>IF('Page 4'!K16-(ROUND('Page 3'!$Q$35*'Page 4'!G16,2))&gt;0,"Y","N")</f>
        <v>N</v>
      </c>
      <c r="E75" s="351" t="str">
        <f>'Page 4'!M44</f>
        <v/>
      </c>
      <c r="F75" s="352" t="str">
        <f>IF(D75="Y",'Page 4'!I44," ")</f>
        <v xml:space="preserve"> </v>
      </c>
      <c r="G75" s="352" t="str">
        <f>IF(D75="Y",'Page 4'!K16," ")</f>
        <v xml:space="preserve"> </v>
      </c>
      <c r="H75" s="268" t="str">
        <f>IF(D75="Y",'Page 4'!P44," ")</f>
        <v xml:space="preserve"> </v>
      </c>
      <c r="I75" s="353" t="str">
        <f>IF(D75="Y",'Page 4'!E30," ")</f>
        <v xml:space="preserve"> </v>
      </c>
      <c r="J75" s="352" t="str">
        <f>IF(D75="Y",I75*(0.001*$J$71)," ")</f>
        <v xml:space="preserve"> </v>
      </c>
      <c r="K75" s="352" t="str">
        <f>IF(J75=" "," ",IF(J75&gt;G75,G75,J75))</f>
        <v xml:space="preserve"> </v>
      </c>
      <c r="M75" s="352" t="str">
        <f>IF(D75="Y",G75-K75," ")</f>
        <v xml:space="preserve"> </v>
      </c>
      <c r="N75" s="432" t="str">
        <f>IF(D75="Y",IF(M75&gt;H75,"Y"," ")," ")</f>
        <v xml:space="preserve"> </v>
      </c>
      <c r="O75" s="352" t="str">
        <f>IF(N75="Y",F75-G75," ")</f>
        <v xml:space="preserve"> </v>
      </c>
      <c r="P75" s="352" t="str">
        <f>IF(N75="Y",I75*$P$71," ")</f>
        <v xml:space="preserve"> </v>
      </c>
      <c r="Q75" s="352" t="str">
        <f>IF(O75&lt;P75,O75,P75)</f>
        <v xml:space="preserve"> </v>
      </c>
      <c r="R75" s="352" t="str">
        <f>IF(N75="Y",IF(G75&gt;0,K75+Q75," ")," ")</f>
        <v xml:space="preserve"> </v>
      </c>
      <c r="S75" s="352" t="str">
        <f>IF(N75="Y",F75-R75," ")</f>
        <v xml:space="preserve"> </v>
      </c>
      <c r="T75" s="352">
        <f>ROUND(IF(S75=" ", 0,IF((S75-H75)&lt;0,0,S75-H75)),2)</f>
        <v>0</v>
      </c>
    </row>
    <row r="76" spans="1:20" x14ac:dyDescent="0.25">
      <c r="A76" s="36" t="s">
        <v>23</v>
      </c>
      <c r="B76" s="37"/>
      <c r="C76" s="37"/>
      <c r="D76" s="382" t="str">
        <f>IF('Page 4'!K17-(ROUND('Page 3'!$Q$35*'Page 4'!G17,2))&gt;0,"Y","N")</f>
        <v>N</v>
      </c>
      <c r="E76" s="351" t="str">
        <f>'Page 4'!M45</f>
        <v/>
      </c>
      <c r="F76" s="352" t="str">
        <f>IF(D76="Y",'Page 4'!I45," ")</f>
        <v xml:space="preserve"> </v>
      </c>
      <c r="G76" s="352" t="str">
        <f>IF(D76="Y",'Page 4'!K17," ")</f>
        <v xml:space="preserve"> </v>
      </c>
      <c r="H76" s="268" t="str">
        <f>IF(D76="Y",'Page 4'!P45," ")</f>
        <v xml:space="preserve"> </v>
      </c>
      <c r="I76" s="353" t="str">
        <f>IF(D76="Y",'Page 4'!E31," ")</f>
        <v xml:space="preserve"> </v>
      </c>
      <c r="J76" s="352" t="str">
        <f t="shared" ref="J76:J81" si="3">IF(D76="Y",I76*(0.001*$J$71)," ")</f>
        <v xml:space="preserve"> </v>
      </c>
      <c r="K76" s="352" t="str">
        <f t="shared" ref="K76:K81" si="4">IF(J76=" "," ",IF(J76&gt;G76,G76,J76))</f>
        <v xml:space="preserve"> </v>
      </c>
      <c r="M76" s="352" t="str">
        <f t="shared" ref="M76:M81" si="5">IF(D76="Y",G76-K76," ")</f>
        <v xml:space="preserve"> </v>
      </c>
      <c r="N76" s="513" t="str">
        <f t="shared" ref="N76:N81" si="6">IF(D76="Y",IF(M76&gt;H76,"Y"," ")," ")</f>
        <v xml:space="preserve"> </v>
      </c>
      <c r="O76" s="352" t="str">
        <f t="shared" ref="O76:O81" si="7">IF(N76="Y",F76-G76," ")</f>
        <v xml:space="preserve"> </v>
      </c>
      <c r="P76" s="352" t="str">
        <f t="shared" ref="P76:P81" si="8">IF(N76="Y",I76*$P$71," ")</f>
        <v xml:space="preserve"> </v>
      </c>
      <c r="Q76" s="352" t="str">
        <f t="shared" ref="Q76:Q81" si="9">IF(O76&lt;P76,O76,P76)</f>
        <v xml:space="preserve"> </v>
      </c>
      <c r="R76" s="352" t="str">
        <f t="shared" ref="R76:R81" si="10">IF(N76="Y",IF(G76&gt;0,K76+Q76," ")," ")</f>
        <v xml:space="preserve"> </v>
      </c>
      <c r="S76" s="352" t="str">
        <f t="shared" ref="S76:S81" si="11">IF(N76="Y",F76-R76," ")</f>
        <v xml:space="preserve"> </v>
      </c>
      <c r="T76" s="352">
        <f t="shared" ref="T76:T81" si="12">ROUND(IF(S76=" ", 0,IF((S76-H76)&lt;0,0,S76-H76)),2)</f>
        <v>0</v>
      </c>
    </row>
    <row r="77" spans="1:20" x14ac:dyDescent="0.25">
      <c r="A77" s="36" t="s">
        <v>25</v>
      </c>
      <c r="B77" s="37"/>
      <c r="C77" s="37"/>
      <c r="D77" s="382" t="str">
        <f>IF('Page 4'!K18-(ROUND('Page 3'!$Q$35*'Page 4'!G18,2))&gt;0,"Y","N")</f>
        <v>N</v>
      </c>
      <c r="E77" s="351" t="str">
        <f>'Page 4'!M46</f>
        <v/>
      </c>
      <c r="F77" s="352" t="str">
        <f>IF(D77="Y",'Page 4'!I46," ")</f>
        <v xml:space="preserve"> </v>
      </c>
      <c r="G77" s="352" t="str">
        <f>IF(D77="Y",'Page 4'!K18," ")</f>
        <v xml:space="preserve"> </v>
      </c>
      <c r="H77" s="268" t="str">
        <f>IF(D77="Y",'Page 4'!P46," ")</f>
        <v xml:space="preserve"> </v>
      </c>
      <c r="I77" s="353" t="str">
        <f>IF(D77="Y",'Page 4'!E32," ")</f>
        <v xml:space="preserve"> </v>
      </c>
      <c r="J77" s="352" t="str">
        <f t="shared" si="3"/>
        <v xml:space="preserve"> </v>
      </c>
      <c r="K77" s="352" t="str">
        <f t="shared" si="4"/>
        <v xml:space="preserve"> </v>
      </c>
      <c r="M77" s="352" t="str">
        <f t="shared" si="5"/>
        <v xml:space="preserve"> </v>
      </c>
      <c r="N77" s="513" t="str">
        <f t="shared" si="6"/>
        <v xml:space="preserve"> </v>
      </c>
      <c r="O77" s="352" t="str">
        <f t="shared" si="7"/>
        <v xml:space="preserve"> </v>
      </c>
      <c r="P77" s="352" t="str">
        <f t="shared" si="8"/>
        <v xml:space="preserve"> </v>
      </c>
      <c r="Q77" s="352" t="str">
        <f t="shared" si="9"/>
        <v xml:space="preserve"> </v>
      </c>
      <c r="R77" s="352" t="str">
        <f t="shared" si="10"/>
        <v xml:space="preserve"> </v>
      </c>
      <c r="S77" s="352" t="str">
        <f t="shared" si="11"/>
        <v xml:space="preserve"> </v>
      </c>
      <c r="T77" s="352">
        <f t="shared" si="12"/>
        <v>0</v>
      </c>
    </row>
    <row r="78" spans="1:20" x14ac:dyDescent="0.25">
      <c r="A78" s="36" t="s">
        <v>27</v>
      </c>
      <c r="B78" s="37"/>
      <c r="C78" s="37"/>
      <c r="D78" s="382" t="str">
        <f>IF('Page 4'!K19-(ROUND('Page 3'!$Q$35*'Page 4'!G19,2))&gt;0,"Y","N")</f>
        <v>N</v>
      </c>
      <c r="E78" s="351" t="str">
        <f>'Page 4'!M47</f>
        <v/>
      </c>
      <c r="F78" s="352" t="str">
        <f>IF(D78="Y",'Page 4'!I47," ")</f>
        <v xml:space="preserve"> </v>
      </c>
      <c r="G78" s="352" t="str">
        <f>IF(D78="Y",'Page 4'!K19," ")</f>
        <v xml:space="preserve"> </v>
      </c>
      <c r="H78" s="268" t="str">
        <f>IF(D78="Y",'Page 4'!P47," ")</f>
        <v xml:space="preserve"> </v>
      </c>
      <c r="I78" s="353" t="str">
        <f>IF(D78="Y",'Page 4'!E33," ")</f>
        <v xml:space="preserve"> </v>
      </c>
      <c r="J78" s="352" t="str">
        <f t="shared" si="3"/>
        <v xml:space="preserve"> </v>
      </c>
      <c r="K78" s="352" t="str">
        <f t="shared" si="4"/>
        <v xml:space="preserve"> </v>
      </c>
      <c r="M78" s="352" t="str">
        <f t="shared" si="5"/>
        <v xml:space="preserve"> </v>
      </c>
      <c r="N78" s="513" t="str">
        <f t="shared" si="6"/>
        <v xml:space="preserve"> </v>
      </c>
      <c r="O78" s="352" t="str">
        <f t="shared" si="7"/>
        <v xml:space="preserve"> </v>
      </c>
      <c r="P78" s="352" t="str">
        <f t="shared" si="8"/>
        <v xml:space="preserve"> </v>
      </c>
      <c r="Q78" s="352" t="str">
        <f t="shared" si="9"/>
        <v xml:space="preserve"> </v>
      </c>
      <c r="R78" s="352" t="str">
        <f t="shared" si="10"/>
        <v xml:space="preserve"> </v>
      </c>
      <c r="S78" s="352" t="str">
        <f t="shared" si="11"/>
        <v xml:space="preserve"> </v>
      </c>
      <c r="T78" s="352">
        <f t="shared" si="12"/>
        <v>0</v>
      </c>
    </row>
    <row r="79" spans="1:20" x14ac:dyDescent="0.25">
      <c r="A79" s="36" t="s">
        <v>29</v>
      </c>
      <c r="B79" s="37"/>
      <c r="C79" s="37"/>
      <c r="D79" s="382" t="str">
        <f>IF('Page 4'!K20-(ROUND('Page 3'!$Q$35*'Page 4'!G20,2))&gt;0,"Y","N")</f>
        <v>N</v>
      </c>
      <c r="E79" s="351" t="str">
        <f>'Page 4'!M48</f>
        <v/>
      </c>
      <c r="F79" s="352" t="str">
        <f>IF(D79="Y",'Page 4'!I48," ")</f>
        <v xml:space="preserve"> </v>
      </c>
      <c r="G79" s="352" t="str">
        <f>IF(D79="Y",'Page 4'!K20," ")</f>
        <v xml:space="preserve"> </v>
      </c>
      <c r="H79" s="268" t="str">
        <f>IF(D79="Y",'Page 4'!P48," ")</f>
        <v xml:space="preserve"> </v>
      </c>
      <c r="I79" s="353" t="str">
        <f>IF(D79="Y",'Page 4'!E34," ")</f>
        <v xml:space="preserve"> </v>
      </c>
      <c r="J79" s="352" t="str">
        <f t="shared" si="3"/>
        <v xml:space="preserve"> </v>
      </c>
      <c r="K79" s="352" t="str">
        <f t="shared" si="4"/>
        <v xml:space="preserve"> </v>
      </c>
      <c r="M79" s="352" t="str">
        <f t="shared" si="5"/>
        <v xml:space="preserve"> </v>
      </c>
      <c r="N79" s="513" t="str">
        <f t="shared" si="6"/>
        <v xml:space="preserve"> </v>
      </c>
      <c r="O79" s="352" t="str">
        <f t="shared" si="7"/>
        <v xml:space="preserve"> </v>
      </c>
      <c r="P79" s="352" t="str">
        <f t="shared" si="8"/>
        <v xml:space="preserve"> </v>
      </c>
      <c r="Q79" s="352" t="str">
        <f t="shared" si="9"/>
        <v xml:space="preserve"> </v>
      </c>
      <c r="R79" s="352" t="str">
        <f t="shared" si="10"/>
        <v xml:space="preserve"> </v>
      </c>
      <c r="S79" s="352" t="str">
        <f t="shared" si="11"/>
        <v xml:space="preserve"> </v>
      </c>
      <c r="T79" s="352">
        <f t="shared" si="12"/>
        <v>0</v>
      </c>
    </row>
    <row r="80" spans="1:20" x14ac:dyDescent="0.25">
      <c r="A80" s="36" t="s">
        <v>147</v>
      </c>
      <c r="B80" s="37"/>
      <c r="C80" s="37"/>
      <c r="D80" s="382" t="str">
        <f>IF('Page 4'!K21-(ROUND('Page 3'!$Q$35*'Page 4'!G21,2))&gt;0,"Y","N")</f>
        <v>N</v>
      </c>
      <c r="E80" s="351" t="str">
        <f>'Page 4'!M49</f>
        <v/>
      </c>
      <c r="F80" s="352" t="str">
        <f>IF(D80="Y",'Page 4'!I49," ")</f>
        <v xml:space="preserve"> </v>
      </c>
      <c r="G80" s="352" t="str">
        <f>IF(D80="Y",'Page 4'!K21," ")</f>
        <v xml:space="preserve"> </v>
      </c>
      <c r="H80" s="268" t="str">
        <f>IF(D80="Y",'Page 4'!P49," ")</f>
        <v xml:space="preserve"> </v>
      </c>
      <c r="I80" s="353" t="str">
        <f>IF(D80="Y",'Page 4'!E35," ")</f>
        <v xml:space="preserve"> </v>
      </c>
      <c r="J80" s="352" t="str">
        <f t="shared" si="3"/>
        <v xml:space="preserve"> </v>
      </c>
      <c r="K80" s="352" t="str">
        <f t="shared" si="4"/>
        <v xml:space="preserve"> </v>
      </c>
      <c r="M80" s="352" t="str">
        <f t="shared" si="5"/>
        <v xml:space="preserve"> </v>
      </c>
      <c r="N80" s="513" t="str">
        <f t="shared" si="6"/>
        <v xml:space="preserve"> </v>
      </c>
      <c r="O80" s="352" t="str">
        <f t="shared" si="7"/>
        <v xml:space="preserve"> </v>
      </c>
      <c r="P80" s="352" t="str">
        <f t="shared" si="8"/>
        <v xml:space="preserve"> </v>
      </c>
      <c r="Q80" s="352" t="str">
        <f t="shared" si="9"/>
        <v xml:space="preserve"> </v>
      </c>
      <c r="R80" s="352" t="str">
        <f t="shared" si="10"/>
        <v xml:space="preserve"> </v>
      </c>
      <c r="S80" s="352" t="str">
        <f t="shared" si="11"/>
        <v xml:space="preserve"> </v>
      </c>
      <c r="T80" s="352">
        <f t="shared" si="12"/>
        <v>0</v>
      </c>
    </row>
    <row r="81" spans="1:20" x14ac:dyDescent="0.25">
      <c r="A81" s="36" t="s">
        <v>282</v>
      </c>
      <c r="B81" s="37"/>
      <c r="C81" s="37"/>
      <c r="D81" s="382" t="str">
        <f>IF('Page 4'!K22-(ROUND('Page 3'!$Q$35*'Page 4'!G22,2))&gt;0,"Y","N")</f>
        <v>N</v>
      </c>
      <c r="E81" s="351" t="str">
        <f>'Page 4'!M50</f>
        <v/>
      </c>
      <c r="F81" s="352" t="str">
        <f>IF(D81="Y",'Page 4'!I50," ")</f>
        <v xml:space="preserve"> </v>
      </c>
      <c r="G81" s="352" t="str">
        <f>IF(D81="Y",'Page 4'!K22," ")</f>
        <v xml:space="preserve"> </v>
      </c>
      <c r="H81" s="268" t="str">
        <f>IF(D81="Y",'Page 4'!P50," ")</f>
        <v xml:space="preserve"> </v>
      </c>
      <c r="I81" s="353" t="str">
        <f>IF(D81="Y",'Page 4'!E36," ")</f>
        <v xml:space="preserve"> </v>
      </c>
      <c r="J81" s="352" t="str">
        <f t="shared" si="3"/>
        <v xml:space="preserve"> </v>
      </c>
      <c r="K81" s="352" t="str">
        <f t="shared" si="4"/>
        <v xml:space="preserve"> </v>
      </c>
      <c r="M81" s="352" t="str">
        <f t="shared" si="5"/>
        <v xml:space="preserve"> </v>
      </c>
      <c r="N81" s="513" t="str">
        <f t="shared" si="6"/>
        <v xml:space="preserve"> </v>
      </c>
      <c r="O81" s="352" t="str">
        <f t="shared" si="7"/>
        <v xml:space="preserve"> </v>
      </c>
      <c r="P81" s="352" t="str">
        <f t="shared" si="8"/>
        <v xml:space="preserve"> </v>
      </c>
      <c r="Q81" s="352" t="str">
        <f t="shared" si="9"/>
        <v xml:space="preserve"> </v>
      </c>
      <c r="R81" s="352" t="str">
        <f t="shared" si="10"/>
        <v xml:space="preserve"> </v>
      </c>
      <c r="S81" s="352" t="str">
        <f t="shared" si="11"/>
        <v xml:space="preserve"> </v>
      </c>
      <c r="T81" s="352">
        <f t="shared" si="12"/>
        <v>0</v>
      </c>
    </row>
    <row r="82" spans="1:20" ht="12.6" customHeight="1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</row>
    <row r="83" spans="1:20" ht="12.6" customHeight="1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1:20" ht="12.6" customHeight="1" x14ac:dyDescent="0.25">
      <c r="A84" s="184" t="s">
        <v>194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</row>
    <row r="85" spans="1:20" ht="12.6" customHeight="1" x14ac:dyDescent="0.25">
      <c r="A85" s="37"/>
      <c r="B85" s="37"/>
      <c r="C85" s="37"/>
      <c r="D85" s="269" t="s">
        <v>199</v>
      </c>
      <c r="E85" s="37"/>
      <c r="F85" s="37"/>
      <c r="G85" s="37"/>
      <c r="H85" s="37"/>
      <c r="I85" s="37"/>
      <c r="J85" s="37"/>
      <c r="K85" s="37"/>
    </row>
    <row r="86" spans="1:20" ht="12.6" customHeight="1" x14ac:dyDescent="0.25">
      <c r="A86" s="37"/>
      <c r="B86" s="37"/>
      <c r="C86" s="37"/>
      <c r="D86" s="37" t="s">
        <v>195</v>
      </c>
      <c r="E86" s="37"/>
      <c r="F86" s="37"/>
      <c r="G86" s="37"/>
      <c r="H86" s="37"/>
      <c r="I86" s="37"/>
      <c r="J86" s="37"/>
      <c r="K86" s="37"/>
    </row>
    <row r="87" spans="1:20" ht="12.6" customHeight="1" x14ac:dyDescent="0.25">
      <c r="A87" s="37"/>
      <c r="B87" s="37"/>
      <c r="C87" s="37"/>
      <c r="D87" s="37" t="s">
        <v>196</v>
      </c>
      <c r="E87" s="37"/>
      <c r="F87" s="265">
        <f>'Page 3'!Q12+'Page 3'!Q13</f>
        <v>0</v>
      </c>
      <c r="G87" s="266" t="s">
        <v>36</v>
      </c>
      <c r="H87" s="267">
        <f>G13</f>
        <v>0.45</v>
      </c>
      <c r="I87" s="182" t="s">
        <v>32</v>
      </c>
      <c r="J87" s="265">
        <f>ROUND(F87*H87,2)</f>
        <v>0</v>
      </c>
      <c r="K87" s="37"/>
    </row>
    <row r="88" spans="1:20" ht="12.6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</row>
    <row r="89" spans="1:20" ht="12.6" customHeight="1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1:20" ht="12.6" customHeight="1" x14ac:dyDescent="0.25">
      <c r="A90" s="184" t="s">
        <v>198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</row>
    <row r="91" spans="1:20" ht="12.6" customHeight="1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</row>
    <row r="92" spans="1:20" ht="12.6" customHeight="1" x14ac:dyDescent="0.25">
      <c r="A92" s="37"/>
      <c r="B92" s="37"/>
      <c r="C92" s="37"/>
      <c r="D92" s="269" t="s">
        <v>199</v>
      </c>
      <c r="E92" s="269"/>
      <c r="F92" s="270"/>
      <c r="G92" s="270"/>
      <c r="H92" s="270"/>
      <c r="I92" s="270"/>
      <c r="J92" s="270"/>
      <c r="K92" s="270"/>
      <c r="L92" s="264"/>
      <c r="M92" s="264"/>
      <c r="N92" s="264"/>
    </row>
    <row r="93" spans="1:20" ht="12.6" customHeight="1" x14ac:dyDescent="0.25">
      <c r="A93" s="37"/>
      <c r="B93" s="37"/>
      <c r="C93" s="37"/>
      <c r="D93" s="271">
        <f>'Page 2'!H18</f>
        <v>1147.5</v>
      </c>
      <c r="E93" s="272"/>
      <c r="F93" s="273" t="s">
        <v>200</v>
      </c>
      <c r="G93" s="274">
        <f>'Page 1'!AP45</f>
        <v>7295</v>
      </c>
      <c r="H93" s="273" t="s">
        <v>200</v>
      </c>
      <c r="I93" s="278">
        <f>G14</f>
        <v>0.05</v>
      </c>
      <c r="J93" s="275">
        <f>D93*(G93*I93)</f>
        <v>418550.625</v>
      </c>
      <c r="K93" s="276"/>
    </row>
    <row r="94" spans="1:20" ht="12.6" customHeight="1" x14ac:dyDescent="0.25">
      <c r="A94" s="37"/>
      <c r="B94" s="37"/>
      <c r="C94" s="37"/>
      <c r="D94" s="271">
        <f>'Page 2'!H19</f>
        <v>501.5</v>
      </c>
      <c r="E94" s="272"/>
      <c r="F94" s="273" t="s">
        <v>200</v>
      </c>
      <c r="G94" s="274">
        <f>'Page 1'!AQ45</f>
        <v>7748</v>
      </c>
      <c r="H94" s="273" t="s">
        <v>200</v>
      </c>
      <c r="I94" s="278">
        <f>G14</f>
        <v>0.05</v>
      </c>
      <c r="J94" s="275">
        <f>D94*(G94*I94)</f>
        <v>194281.1</v>
      </c>
      <c r="K94" s="276"/>
    </row>
    <row r="95" spans="1:20" ht="12.6" customHeight="1" x14ac:dyDescent="0.25">
      <c r="A95" s="37"/>
      <c r="B95" s="37"/>
      <c r="C95" s="37"/>
      <c r="D95" s="254" t="s">
        <v>203</v>
      </c>
      <c r="E95" s="254"/>
      <c r="F95" s="254"/>
      <c r="G95" s="254" t="s">
        <v>201</v>
      </c>
      <c r="H95" s="37"/>
      <c r="I95" s="254" t="s">
        <v>204</v>
      </c>
      <c r="J95" s="277">
        <f>SUM(J93:J94)</f>
        <v>612831.72499999998</v>
      </c>
      <c r="K95" s="276"/>
    </row>
    <row r="96" spans="1:20" ht="12.6" customHeight="1" x14ac:dyDescent="0.25">
      <c r="A96" s="37"/>
      <c r="B96" s="37"/>
      <c r="C96" s="37"/>
      <c r="D96" s="254"/>
      <c r="E96" s="254"/>
      <c r="F96" s="254"/>
      <c r="G96" s="254"/>
      <c r="H96" s="37"/>
      <c r="I96" s="254"/>
      <c r="J96" s="277"/>
      <c r="K96" s="276"/>
    </row>
    <row r="97" spans="1:11" ht="12.6" customHeight="1" x14ac:dyDescent="0.25">
      <c r="A97" s="37"/>
      <c r="B97" s="37"/>
      <c r="C97" s="37"/>
      <c r="D97" s="37"/>
      <c r="E97" s="37"/>
      <c r="F97" s="37"/>
      <c r="G97" s="37"/>
      <c r="H97" s="37"/>
      <c r="I97" s="36"/>
      <c r="J97" s="268"/>
      <c r="K97" s="37"/>
    </row>
    <row r="98" spans="1:11" ht="12.6" customHeight="1" x14ac:dyDescent="0.25">
      <c r="A98" s="184" t="s">
        <v>239</v>
      </c>
      <c r="B98" s="180"/>
      <c r="C98" s="37"/>
      <c r="D98" s="37"/>
      <c r="E98" s="37"/>
      <c r="F98" s="37"/>
      <c r="G98" s="37"/>
      <c r="H98" s="37"/>
      <c r="I98" s="37"/>
      <c r="J98" s="37"/>
      <c r="K98" s="37"/>
    </row>
    <row r="99" spans="1:11" ht="12.6" customHeight="1" x14ac:dyDescent="0.25">
      <c r="A99" s="37"/>
      <c r="B99" s="37"/>
      <c r="C99" s="37"/>
      <c r="D99" s="37"/>
      <c r="E99" s="37"/>
      <c r="F99" s="36" t="s">
        <v>206</v>
      </c>
      <c r="G99" s="281">
        <v>0.45619999999999999</v>
      </c>
      <c r="H99" s="37"/>
      <c r="I99" s="37"/>
      <c r="J99" s="37"/>
      <c r="K99" s="37"/>
    </row>
    <row r="100" spans="1:11" ht="12.6" customHeight="1" x14ac:dyDescent="0.25">
      <c r="D100" s="37"/>
      <c r="F100" s="36" t="s">
        <v>207</v>
      </c>
      <c r="G100" s="282">
        <f>'Page 2'!F27</f>
        <v>0.43440000000000001</v>
      </c>
    </row>
    <row r="101" spans="1:11" ht="12.6" customHeight="1" x14ac:dyDescent="0.25">
      <c r="F101" s="185" t="s">
        <v>208</v>
      </c>
      <c r="G101" s="44">
        <f>IF(G100&gt;G99,1,0)</f>
        <v>0</v>
      </c>
      <c r="H101" t="s">
        <v>210</v>
      </c>
    </row>
    <row r="102" spans="1:11" ht="12.6" customHeight="1" x14ac:dyDescent="0.25">
      <c r="F102" s="185" t="s">
        <v>211</v>
      </c>
      <c r="G102" s="279">
        <f>IF('Page 1'!AJ13&gt;0,1,0)</f>
        <v>1</v>
      </c>
      <c r="H102" t="s">
        <v>210</v>
      </c>
    </row>
    <row r="103" spans="1:11" ht="12.6" customHeight="1" x14ac:dyDescent="0.25">
      <c r="F103" s="185" t="s">
        <v>212</v>
      </c>
      <c r="G103" s="179">
        <f>IF((M13+M14)&gt;0,1,0)</f>
        <v>0</v>
      </c>
      <c r="H103" t="s">
        <v>210</v>
      </c>
    </row>
    <row r="104" spans="1:11" ht="12.6" customHeight="1" x14ac:dyDescent="0.25">
      <c r="F104" s="185" t="s">
        <v>213</v>
      </c>
      <c r="G104" s="280">
        <f>SUM(G101:G103)</f>
        <v>1</v>
      </c>
    </row>
    <row r="105" spans="1:11" ht="12.6" customHeight="1" x14ac:dyDescent="0.25">
      <c r="F105" s="185"/>
      <c r="G105" s="185"/>
    </row>
    <row r="106" spans="1:11" ht="12.6" customHeight="1" x14ac:dyDescent="0.25">
      <c r="F106" s="36" t="s">
        <v>209</v>
      </c>
      <c r="G106" s="256">
        <f>'Page 2'!Q26+'Page 2'!Q27+'Page 2'!Q28+'Page 2'!Q42+'Page 2'!Q43+'Page 2'!Q44</f>
        <v>1113699.95</v>
      </c>
    </row>
    <row r="107" spans="1:11" ht="12.6" customHeight="1" x14ac:dyDescent="0.25">
      <c r="F107" s="36" t="s">
        <v>214</v>
      </c>
      <c r="G107" s="278">
        <f>H16</f>
        <v>1</v>
      </c>
    </row>
    <row r="108" spans="1:11" ht="12.6" customHeight="1" x14ac:dyDescent="0.25">
      <c r="G108" s="256">
        <f>G106*G107</f>
        <v>1113699.95</v>
      </c>
    </row>
    <row r="109" spans="1:11" ht="12.6" customHeight="1" x14ac:dyDescent="12.75"/>
    <row r="110" spans="1:11" ht="12.6" customHeight="1" x14ac:dyDescent="0.25"/>
  </sheetData>
  <mergeCells count="20">
    <mergeCell ref="I45:K45"/>
    <mergeCell ref="B38:H38"/>
    <mergeCell ref="C25:H25"/>
    <mergeCell ref="B37:H37"/>
    <mergeCell ref="C29:H29"/>
    <mergeCell ref="C23:H23"/>
    <mergeCell ref="C27:H27"/>
    <mergeCell ref="C24:H24"/>
    <mergeCell ref="J20:K20"/>
    <mergeCell ref="C22:H22"/>
    <mergeCell ref="G7:H7"/>
    <mergeCell ref="C12:H12"/>
    <mergeCell ref="B20:H20"/>
    <mergeCell ref="C21:H21"/>
    <mergeCell ref="A1:L1"/>
    <mergeCell ref="A2:L2"/>
    <mergeCell ref="A3:L3"/>
    <mergeCell ref="A5:M5"/>
    <mergeCell ref="E7:F7"/>
    <mergeCell ref="C15:H15"/>
  </mergeCells>
  <printOptions horizontalCentered="1"/>
  <pageMargins left="0.25" right="0.25" top="0.75" bottom="0.5" header="0.25" footer="0.25"/>
  <pageSetup scale="85" orientation="landscape" r:id="rId1"/>
  <rowBreaks count="2" manualBreakCount="2">
    <brk id="44" max="16383" man="1"/>
    <brk id="63" max="12" man="1"/>
  </rowBreaks>
  <ignoredErrors>
    <ignoredError sqref="K12:L12 K14:L1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H33" sqref="H33"/>
    </sheetView>
  </sheetViews>
  <sheetFormatPr defaultRowHeight="15" x14ac:dyDescent="0.25"/>
  <cols>
    <col min="2" max="2" width="12.140625" style="148" customWidth="1"/>
    <col min="3" max="3" width="7.28515625" customWidth="1"/>
    <col min="4" max="4" width="14.28515625" style="148" bestFit="1" customWidth="1"/>
    <col min="5" max="5" width="5.7109375" customWidth="1"/>
    <col min="6" max="6" width="14.28515625" style="148" customWidth="1"/>
    <col min="7" max="7" width="7.140625" customWidth="1"/>
    <col min="8" max="8" width="14.28515625" style="148" customWidth="1"/>
    <col min="9" max="9" width="7.140625" customWidth="1"/>
    <col min="10" max="10" width="14.28515625" style="148" customWidth="1"/>
  </cols>
  <sheetData>
    <row r="1" spans="1:11" s="145" customFormat="1" x14ac:dyDescent="0.25">
      <c r="A1" s="540" t="s">
        <v>0</v>
      </c>
      <c r="B1" s="540"/>
      <c r="C1" s="540"/>
      <c r="D1" s="540"/>
      <c r="E1" s="540"/>
      <c r="F1" s="540"/>
      <c r="G1" s="540"/>
      <c r="H1" s="540"/>
      <c r="I1" s="540"/>
      <c r="J1" s="540"/>
      <c r="K1" s="143" t="s">
        <v>161</v>
      </c>
    </row>
    <row r="2" spans="1:11" s="145" customFormat="1" x14ac:dyDescent="0.25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143" t="s">
        <v>4</v>
      </c>
    </row>
    <row r="3" spans="1:11" s="145" customFormat="1" x14ac:dyDescent="0.25">
      <c r="A3" s="540" t="s">
        <v>2</v>
      </c>
      <c r="B3" s="540"/>
      <c r="C3" s="540"/>
      <c r="D3" s="540"/>
      <c r="E3" s="540"/>
      <c r="F3" s="540"/>
      <c r="G3" s="540"/>
      <c r="H3" s="540"/>
      <c r="I3" s="540"/>
      <c r="J3" s="540"/>
      <c r="K3" s="142"/>
    </row>
    <row r="4" spans="1:11" s="145" customFormat="1" ht="6" customHeight="1" x14ac:dyDescent="0.25">
      <c r="B4" s="8"/>
      <c r="D4" s="8"/>
      <c r="E4" s="143"/>
      <c r="F4" s="8"/>
      <c r="H4" s="8"/>
      <c r="I4" s="143"/>
      <c r="J4" s="8"/>
      <c r="K4" s="143"/>
    </row>
    <row r="5" spans="1:11" s="145" customFormat="1" x14ac:dyDescent="0.25">
      <c r="A5" s="546" t="s">
        <v>3</v>
      </c>
      <c r="B5" s="546"/>
      <c r="C5" s="547"/>
      <c r="D5" s="547"/>
      <c r="E5" s="547"/>
      <c r="F5" s="547"/>
      <c r="G5" s="547"/>
      <c r="H5" s="547"/>
      <c r="I5" s="547"/>
      <c r="J5" s="547"/>
      <c r="K5" s="525"/>
    </row>
    <row r="6" spans="1:11" s="145" customFormat="1" ht="6" customHeight="1" x14ac:dyDescent="0.25">
      <c r="B6" s="8"/>
      <c r="D6" s="8"/>
      <c r="E6" s="143"/>
      <c r="F6" s="8"/>
      <c r="H6" s="8"/>
      <c r="I6" s="143"/>
      <c r="J6" s="8"/>
      <c r="K6" s="143"/>
    </row>
    <row r="7" spans="1:11" s="145" customFormat="1" x14ac:dyDescent="0.25">
      <c r="A7" s="438" t="str">
        <f>'Page 1'!A7</f>
        <v>Org ID:</v>
      </c>
      <c r="B7" s="443"/>
      <c r="C7" s="439"/>
      <c r="D7" s="443"/>
      <c r="E7" s="587" t="str">
        <f>'Page 1'!O7</f>
        <v>Sample District</v>
      </c>
      <c r="F7" s="587"/>
      <c r="G7" s="442"/>
      <c r="H7" s="443"/>
      <c r="I7" s="442"/>
      <c r="J7" s="443"/>
      <c r="K7" s="442" t="str">
        <f>'Page 1'!AQ7</f>
        <v>2020-21</v>
      </c>
    </row>
    <row r="8" spans="1:11" ht="6.75" customHeight="1" x14ac:dyDescent="0.25">
      <c r="E8" s="142"/>
      <c r="I8" s="142"/>
      <c r="K8" s="142"/>
    </row>
    <row r="9" spans="1:11" x14ac:dyDescent="0.25">
      <c r="A9" s="6" t="s">
        <v>162</v>
      </c>
      <c r="B9" s="8"/>
      <c r="E9" s="142"/>
      <c r="I9" s="149"/>
      <c r="K9" s="149"/>
    </row>
    <row r="10" spans="1:11" ht="6" customHeight="1" x14ac:dyDescent="0.25">
      <c r="A10" s="6"/>
      <c r="B10" s="8"/>
      <c r="E10" s="142"/>
      <c r="I10" s="142"/>
      <c r="K10" s="142"/>
    </row>
    <row r="11" spans="1:11" s="145" customFormat="1" ht="15" customHeight="1" x14ac:dyDescent="0.25">
      <c r="A11" s="8"/>
      <c r="B11" s="8" t="s">
        <v>163</v>
      </c>
      <c r="D11" s="143" t="s">
        <v>164</v>
      </c>
      <c r="F11" s="143" t="s">
        <v>165</v>
      </c>
      <c r="G11" s="143"/>
      <c r="H11" s="143" t="s">
        <v>166</v>
      </c>
      <c r="I11" s="122"/>
      <c r="J11" s="143" t="s">
        <v>165</v>
      </c>
      <c r="K11" s="122"/>
    </row>
    <row r="12" spans="1:11" x14ac:dyDescent="0.25">
      <c r="A12" s="69"/>
      <c r="B12" s="147" t="s">
        <v>167</v>
      </c>
      <c r="C12" s="150"/>
      <c r="D12" s="153">
        <f>ROUND($D$36/12,2)</f>
        <v>239287.94</v>
      </c>
      <c r="E12" s="153"/>
      <c r="F12" s="153"/>
      <c r="G12" s="153"/>
      <c r="H12" s="153"/>
      <c r="I12" s="153"/>
      <c r="J12" s="153"/>
      <c r="K12" s="67"/>
    </row>
    <row r="13" spans="1:11" s="34" customFormat="1" ht="9" customHeight="1" x14ac:dyDescent="0.25">
      <c r="A13" s="44"/>
      <c r="B13" s="151"/>
      <c r="D13" s="154"/>
      <c r="E13" s="154"/>
      <c r="F13" s="154"/>
      <c r="G13" s="154"/>
      <c r="H13" s="155"/>
      <c r="I13" s="156"/>
      <c r="J13" s="156"/>
      <c r="K13" s="94"/>
    </row>
    <row r="14" spans="1:11" x14ac:dyDescent="0.25">
      <c r="A14" s="69"/>
      <c r="B14" s="147" t="s">
        <v>168</v>
      </c>
      <c r="C14" s="150"/>
      <c r="D14" s="153">
        <f>ROUND($D$36/12,2)</f>
        <v>239287.94</v>
      </c>
      <c r="E14" s="153"/>
      <c r="F14" s="153"/>
      <c r="G14" s="153"/>
      <c r="H14" s="153">
        <f>'Page 3'!Q24</f>
        <v>969882.44</v>
      </c>
      <c r="I14" s="153"/>
      <c r="J14" s="153"/>
      <c r="K14" s="67"/>
    </row>
    <row r="15" spans="1:11" s="34" customFormat="1" ht="9" customHeight="1" x14ac:dyDescent="0.25">
      <c r="A15" s="44"/>
      <c r="B15" s="151"/>
      <c r="D15" s="154"/>
      <c r="E15" s="154"/>
      <c r="F15" s="154"/>
      <c r="G15" s="154"/>
      <c r="H15" s="155"/>
      <c r="I15" s="156"/>
      <c r="J15" s="156"/>
      <c r="K15" s="94"/>
    </row>
    <row r="16" spans="1:11" x14ac:dyDescent="0.25">
      <c r="A16" s="69"/>
      <c r="B16" s="147" t="s">
        <v>169</v>
      </c>
      <c r="C16" s="150"/>
      <c r="D16" s="153">
        <f>ROUND($D$36/12,2)</f>
        <v>239287.94</v>
      </c>
      <c r="E16" s="153"/>
      <c r="F16" s="153"/>
      <c r="G16" s="153"/>
      <c r="H16" s="153"/>
      <c r="I16" s="157"/>
      <c r="J16" s="153"/>
      <c r="K16" s="67"/>
    </row>
    <row r="17" spans="1:11" s="34" customFormat="1" ht="9" customHeight="1" x14ac:dyDescent="0.25">
      <c r="A17" s="44"/>
      <c r="B17" s="151"/>
      <c r="D17" s="154"/>
      <c r="E17" s="154"/>
      <c r="F17" s="154"/>
      <c r="G17" s="154"/>
      <c r="H17" s="155"/>
      <c r="I17" s="156"/>
      <c r="J17" s="156"/>
      <c r="K17" s="94"/>
    </row>
    <row r="18" spans="1:11" x14ac:dyDescent="0.25">
      <c r="A18" s="69"/>
      <c r="B18" s="147" t="s">
        <v>170</v>
      </c>
      <c r="C18" s="150"/>
      <c r="D18" s="153">
        <f>ROUND($D$36/12,2)</f>
        <v>239287.94</v>
      </c>
      <c r="E18" s="153"/>
      <c r="F18" s="153"/>
      <c r="G18" s="153"/>
      <c r="H18" s="153"/>
      <c r="I18" s="153"/>
      <c r="J18" s="153"/>
      <c r="K18" s="67"/>
    </row>
    <row r="19" spans="1:11" s="34" customFormat="1" ht="9" customHeight="1" x14ac:dyDescent="0.25">
      <c r="A19" s="44"/>
      <c r="B19" s="151"/>
      <c r="D19" s="154"/>
      <c r="E19" s="154"/>
      <c r="F19" s="154"/>
      <c r="G19" s="154"/>
      <c r="H19" s="155"/>
      <c r="I19" s="156"/>
      <c r="J19" s="156"/>
      <c r="K19" s="94"/>
    </row>
    <row r="20" spans="1:11" x14ac:dyDescent="0.25">
      <c r="A20" s="69"/>
      <c r="B20" s="147" t="s">
        <v>171</v>
      </c>
      <c r="C20" s="150"/>
      <c r="D20" s="153">
        <f>ROUND($D$36/12,2)</f>
        <v>239287.94</v>
      </c>
      <c r="E20" s="153"/>
      <c r="F20" s="153"/>
      <c r="G20" s="153"/>
      <c r="H20" s="153">
        <f>'Page 3'!Q26</f>
        <v>4281754.26</v>
      </c>
      <c r="I20" s="157"/>
      <c r="J20" s="153"/>
      <c r="K20" s="75"/>
    </row>
    <row r="21" spans="1:11" s="34" customFormat="1" ht="9" customHeight="1" x14ac:dyDescent="0.25">
      <c r="A21" s="44"/>
      <c r="B21" s="151"/>
      <c r="D21" s="154"/>
      <c r="E21" s="154"/>
      <c r="F21" s="154"/>
      <c r="G21" s="154"/>
      <c r="H21" s="155"/>
      <c r="I21" s="156"/>
      <c r="J21" s="156"/>
      <c r="K21" s="94"/>
    </row>
    <row r="22" spans="1:11" x14ac:dyDescent="0.25">
      <c r="A22" s="69"/>
      <c r="B22" s="147" t="s">
        <v>172</v>
      </c>
      <c r="C22" s="150"/>
      <c r="D22" s="153">
        <f>ROUND($D$36/12,2)</f>
        <v>239287.94</v>
      </c>
      <c r="E22" s="153"/>
      <c r="F22" s="153"/>
      <c r="G22" s="153"/>
      <c r="H22" s="153"/>
      <c r="I22" s="153"/>
      <c r="J22" s="153"/>
      <c r="K22" s="67"/>
    </row>
    <row r="23" spans="1:11" s="34" customFormat="1" ht="9" customHeight="1" x14ac:dyDescent="0.25">
      <c r="A23" s="44"/>
      <c r="B23" s="151"/>
      <c r="D23" s="154"/>
      <c r="E23" s="154"/>
      <c r="F23" s="154"/>
      <c r="G23" s="154"/>
      <c r="H23" s="155"/>
      <c r="I23" s="156"/>
      <c r="J23" s="156"/>
      <c r="K23" s="94"/>
    </row>
    <row r="24" spans="1:11" x14ac:dyDescent="0.25">
      <c r="A24" s="69"/>
      <c r="B24" s="147" t="s">
        <v>173</v>
      </c>
      <c r="C24" s="150"/>
      <c r="D24" s="153">
        <f>ROUND($D$36/12,2)</f>
        <v>239287.94</v>
      </c>
      <c r="E24" s="153"/>
      <c r="F24" s="153"/>
      <c r="G24" s="153"/>
      <c r="H24" s="153"/>
      <c r="I24" s="153"/>
      <c r="J24" s="153"/>
      <c r="K24" s="67"/>
    </row>
    <row r="25" spans="1:11" s="34" customFormat="1" ht="9" customHeight="1" x14ac:dyDescent="0.25">
      <c r="A25" s="44"/>
      <c r="B25" s="151"/>
      <c r="D25" s="154"/>
      <c r="E25" s="154"/>
      <c r="F25" s="154"/>
      <c r="G25" s="154"/>
      <c r="H25" s="155"/>
      <c r="I25" s="156"/>
      <c r="J25" s="156"/>
      <c r="K25" s="94"/>
    </row>
    <row r="26" spans="1:11" x14ac:dyDescent="0.25">
      <c r="A26" s="69"/>
      <c r="B26" s="147" t="s">
        <v>174</v>
      </c>
      <c r="C26" s="150"/>
      <c r="D26" s="153">
        <f>ROUND($D$36/12,2)</f>
        <v>239287.94</v>
      </c>
      <c r="E26" s="153"/>
      <c r="F26" s="153"/>
      <c r="G26" s="153"/>
      <c r="H26" s="153">
        <f>'Page 3'!Q25</f>
        <v>175798.72</v>
      </c>
      <c r="I26" s="153"/>
      <c r="J26" s="153"/>
      <c r="K26" s="67"/>
    </row>
    <row r="27" spans="1:11" s="34" customFormat="1" ht="9" customHeight="1" x14ac:dyDescent="0.25">
      <c r="A27" s="44"/>
      <c r="B27" s="151"/>
      <c r="D27" s="154"/>
      <c r="E27" s="154"/>
      <c r="F27" s="154"/>
      <c r="G27" s="154"/>
      <c r="H27" s="155"/>
      <c r="I27" s="156"/>
      <c r="J27" s="156"/>
      <c r="K27" s="94"/>
    </row>
    <row r="28" spans="1:11" x14ac:dyDescent="0.25">
      <c r="A28" s="69"/>
      <c r="B28" s="147" t="s">
        <v>175</v>
      </c>
      <c r="C28" s="150"/>
      <c r="D28" s="153">
        <f>ROUND($D$36/12,2)</f>
        <v>239287.94</v>
      </c>
      <c r="E28" s="153"/>
      <c r="F28" s="153"/>
      <c r="G28" s="153"/>
      <c r="H28" s="153"/>
      <c r="I28" s="157"/>
      <c r="J28" s="153"/>
      <c r="K28" s="67"/>
    </row>
    <row r="29" spans="1:11" s="34" customFormat="1" ht="9" customHeight="1" x14ac:dyDescent="0.25">
      <c r="A29" s="44"/>
      <c r="B29" s="151"/>
      <c r="D29" s="154"/>
      <c r="E29" s="154"/>
      <c r="F29" s="154"/>
      <c r="G29" s="154"/>
      <c r="H29" s="155"/>
      <c r="I29" s="156"/>
      <c r="J29" s="156"/>
      <c r="K29" s="94"/>
    </row>
    <row r="30" spans="1:11" x14ac:dyDescent="0.25">
      <c r="A30" s="69"/>
      <c r="B30" s="147" t="s">
        <v>176</v>
      </c>
      <c r="C30" s="150"/>
      <c r="D30" s="153">
        <f>ROUND($D$36/12,2)</f>
        <v>239287.94</v>
      </c>
      <c r="E30" s="153"/>
      <c r="F30" s="153"/>
      <c r="G30" s="153"/>
      <c r="H30" s="153"/>
      <c r="I30" s="153"/>
      <c r="J30" s="153"/>
      <c r="K30" s="67"/>
    </row>
    <row r="31" spans="1:11" s="34" customFormat="1" ht="9" customHeight="1" x14ac:dyDescent="0.25">
      <c r="A31" s="44"/>
      <c r="B31" s="151"/>
      <c r="D31" s="154"/>
      <c r="E31" s="154"/>
      <c r="F31" s="154"/>
      <c r="G31" s="154"/>
      <c r="H31" s="155"/>
      <c r="I31" s="156"/>
      <c r="J31" s="156"/>
      <c r="K31" s="94"/>
    </row>
    <row r="32" spans="1:11" x14ac:dyDescent="0.25">
      <c r="A32" s="69"/>
      <c r="B32" s="147" t="s">
        <v>177</v>
      </c>
      <c r="C32" s="150"/>
      <c r="D32" s="153">
        <f>ROUND($D$36/12,2)</f>
        <v>239287.94</v>
      </c>
      <c r="E32" s="153"/>
      <c r="F32" s="153"/>
      <c r="G32" s="153"/>
      <c r="H32" s="153">
        <f>'Page 3'!Q27</f>
        <v>1248817.7</v>
      </c>
      <c r="I32" s="157"/>
      <c r="J32" s="153"/>
      <c r="K32" s="75"/>
    </row>
    <row r="33" spans="1:11" s="34" customFormat="1" ht="9" customHeight="1" x14ac:dyDescent="0.25">
      <c r="A33" s="44"/>
      <c r="B33" s="151"/>
      <c r="D33" s="154"/>
      <c r="E33" s="154"/>
      <c r="F33" s="154"/>
      <c r="G33" s="154"/>
      <c r="H33" s="155"/>
      <c r="I33" s="156"/>
      <c r="J33" s="156"/>
      <c r="K33" s="94"/>
    </row>
    <row r="34" spans="1:11" x14ac:dyDescent="0.25">
      <c r="A34" s="69"/>
      <c r="B34" s="147" t="s">
        <v>178</v>
      </c>
      <c r="C34" s="150"/>
      <c r="D34" s="153">
        <f>D36-D12-D14-D16-D18-D20-D22-D24-D26-D28-D30-D32</f>
        <v>239287.97000000381</v>
      </c>
      <c r="E34" s="153"/>
      <c r="F34" s="153"/>
      <c r="G34" s="153"/>
      <c r="H34" s="153"/>
      <c r="I34" s="157"/>
      <c r="J34" s="153"/>
      <c r="K34" s="75"/>
    </row>
    <row r="35" spans="1:11" s="34" customFormat="1" ht="9" customHeight="1" x14ac:dyDescent="0.25">
      <c r="A35" s="44"/>
      <c r="B35" s="151"/>
      <c r="D35" s="154"/>
      <c r="E35" s="154"/>
      <c r="F35" s="154"/>
      <c r="G35" s="154"/>
      <c r="H35" s="155"/>
      <c r="I35" s="156"/>
      <c r="J35" s="156"/>
      <c r="K35" s="94"/>
    </row>
    <row r="36" spans="1:11" s="145" customFormat="1" ht="15" customHeight="1" x14ac:dyDescent="0.25">
      <c r="A36" s="41"/>
      <c r="B36" s="85" t="s">
        <v>12</v>
      </c>
      <c r="C36" s="158"/>
      <c r="D36" s="159">
        <f>IF('Page 5'!M33&lt;'Page 3'!Q31,0,'Page 5'!M33-'Page 3'!Q31)</f>
        <v>2871455.3100000033</v>
      </c>
      <c r="E36" s="159"/>
      <c r="F36" s="159">
        <f>SUM(F12:F35)</f>
        <v>0</v>
      </c>
      <c r="G36" s="159"/>
      <c r="H36" s="159">
        <f>SUM(H12:H35)</f>
        <v>6676253.1199999992</v>
      </c>
      <c r="I36" s="160"/>
      <c r="J36" s="159">
        <f>SUM(J12:J35)</f>
        <v>0</v>
      </c>
      <c r="K36" s="118"/>
    </row>
  </sheetData>
  <mergeCells count="5">
    <mergeCell ref="A1:J1"/>
    <mergeCell ref="A2:J2"/>
    <mergeCell ref="A3:J3"/>
    <mergeCell ref="A5:K5"/>
    <mergeCell ref="E7:F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38C354001C943AFDB109181F453CA" ma:contentTypeVersion="12" ma:contentTypeDescription="Create a new document." ma:contentTypeScope="" ma:versionID="0a1219c07089a15915cb4de688180690">
  <xsd:schema xmlns:xsd="http://www.w3.org/2001/XMLSchema" xmlns:xs="http://www.w3.org/2001/XMLSchema" xmlns:p="http://schemas.microsoft.com/office/2006/metadata/properties" xmlns:ns1="http://schemas.microsoft.com/sharepoint/v3" xmlns:ns3="a77d7f4c-d8c4-4279-95fe-fefc7086a41d" xmlns:ns4="b514b4da-6b7d-4941-8b62-9ee21801b429" targetNamespace="http://schemas.microsoft.com/office/2006/metadata/properties" ma:root="true" ma:fieldsID="8ad114d8009e5202967360c85bdf7c9d" ns1:_="" ns3:_="" ns4:_="">
    <xsd:import namespace="http://schemas.microsoft.com/sharepoint/v3"/>
    <xsd:import namespace="a77d7f4c-d8c4-4279-95fe-fefc7086a41d"/>
    <xsd:import namespace="b514b4da-6b7d-4941-8b62-9ee21801b4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d7f4c-d8c4-4279-95fe-fefc7086a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4b4da-6b7d-4941-8b62-9ee21801b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9E9855-AAA1-462E-878C-074550162F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6A79D1-7670-420E-A49F-38D065D04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7d7f4c-d8c4-4279-95fe-fefc7086a41d"/>
    <ds:schemaRef ds:uri="b514b4da-6b7d-4941-8b62-9ee21801b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F0102-8FD5-42D0-BE2A-54109D2E70AE}">
  <ds:schemaRefs>
    <ds:schemaRef ds:uri="http://purl.org/dc/elements/1.1/"/>
    <ds:schemaRef ds:uri="http://schemas.microsoft.com/office/2006/metadata/properties"/>
    <ds:schemaRef ds:uri="a77d7f4c-d8c4-4279-95fe-fefc7086a41d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514b4da-6b7d-4941-8b62-9ee21801b42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Page 1</vt:lpstr>
      <vt:lpstr>Page 2</vt:lpstr>
      <vt:lpstr>Page 3</vt:lpstr>
      <vt:lpstr>Page 4</vt:lpstr>
      <vt:lpstr>Page 5</vt:lpstr>
      <vt:lpstr>Page 6</vt:lpstr>
      <vt:lpstr>'Page 1'!Print_Area</vt:lpstr>
      <vt:lpstr>'Page 2'!Print_Area</vt:lpstr>
      <vt:lpstr>'Page 3'!Print_Area</vt:lpstr>
      <vt:lpstr>'Page 4'!Print_Area</vt:lpstr>
      <vt:lpstr>'Page 5'!Print_Area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PBG</dc:creator>
  <cp:lastModifiedBy>Backus, Tyler</cp:lastModifiedBy>
  <cp:lastPrinted>2017-09-26T18:50:17Z</cp:lastPrinted>
  <dcterms:created xsi:type="dcterms:W3CDTF">2011-10-05T14:20:58Z</dcterms:created>
  <dcterms:modified xsi:type="dcterms:W3CDTF">2020-03-04T16:24:53Z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0x0101005C838C354001C943AFDB109181F453CA</vt:lpwstr>
  </property>
</Properties>
</file>