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120" windowWidth="18030" windowHeight="9120" tabRatio="868"/>
  </bookViews>
  <sheets>
    <sheet name="legend" sheetId="16" r:id="rId1"/>
    <sheet name="5-10% leakage  " sheetId="11" r:id="rId2"/>
    <sheet name="10-20% leakage   (2)" sheetId="29" r:id="rId3"/>
    <sheet name="20-40% leakage   (3)" sheetId="30" r:id="rId4"/>
    <sheet name="parameters &amp; calculation logic" sheetId="24" r:id="rId5"/>
    <sheet name="bond calc." sheetId="25" r:id="rId6"/>
  </sheets>
  <definedNames>
    <definedName name="_Toc260076017" localSheetId="0">legend!$A$4</definedName>
    <definedName name="_Toc260076018" localSheetId="0">legend!$A$13</definedName>
    <definedName name="_Toc478734371" localSheetId="0">legend!$B$32</definedName>
    <definedName name="_Toc478734372" localSheetId="0">legend!$C$42</definedName>
    <definedName name="_Toc478734382" localSheetId="0">legend!$C$25</definedName>
    <definedName name="_xlnm.Print_Area" localSheetId="2">'10-20% leakage   (2)'!$A$1:$V$90</definedName>
    <definedName name="_xlnm.Print_Area" localSheetId="3">'20-40% leakage   (3)'!$A$1:$V$90</definedName>
    <definedName name="_xlnm.Print_Area" localSheetId="1">'5-10% leakage  '!$A$1:$V$90</definedName>
  </definedNames>
  <calcPr calcId="162913"/>
</workbook>
</file>

<file path=xl/calcChain.xml><?xml version="1.0" encoding="utf-8"?>
<calcChain xmlns="http://schemas.openxmlformats.org/spreadsheetml/2006/main">
  <c r="V89" i="30" l="1"/>
  <c r="V37" i="30" s="1"/>
  <c r="U89" i="30"/>
  <c r="T89" i="30"/>
  <c r="S89" i="30"/>
  <c r="R89" i="30"/>
  <c r="R37" i="30" s="1"/>
  <c r="Q89" i="30"/>
  <c r="P89" i="30"/>
  <c r="O89" i="30"/>
  <c r="O37" i="30" s="1"/>
  <c r="N89" i="30"/>
  <c r="N37" i="30" s="1"/>
  <c r="M89" i="30"/>
  <c r="K89" i="30"/>
  <c r="J89" i="30"/>
  <c r="J37" i="30" s="1"/>
  <c r="I89" i="30"/>
  <c r="I37" i="30" s="1"/>
  <c r="H89" i="30"/>
  <c r="G89" i="30"/>
  <c r="F89" i="30"/>
  <c r="F37" i="30" s="1"/>
  <c r="E89" i="30"/>
  <c r="E37" i="30" s="1"/>
  <c r="D89" i="30"/>
  <c r="C89" i="30"/>
  <c r="B89" i="30"/>
  <c r="X88" i="30"/>
  <c r="X87" i="30"/>
  <c r="X86" i="30"/>
  <c r="X85" i="30"/>
  <c r="X84" i="30"/>
  <c r="H80" i="30"/>
  <c r="C80" i="30"/>
  <c r="C79" i="30"/>
  <c r="H78" i="30"/>
  <c r="C78" i="30"/>
  <c r="C77" i="30"/>
  <c r="H74" i="30"/>
  <c r="C74" i="30"/>
  <c r="H70" i="30"/>
  <c r="C70" i="30"/>
  <c r="H69" i="30"/>
  <c r="C69" i="30"/>
  <c r="H68" i="30"/>
  <c r="C68" i="30"/>
  <c r="H67" i="30"/>
  <c r="C67" i="30"/>
  <c r="H66" i="30"/>
  <c r="C66" i="30"/>
  <c r="H65" i="30"/>
  <c r="C65" i="30"/>
  <c r="C71" i="30" s="1"/>
  <c r="C61" i="30"/>
  <c r="D61" i="30" s="1"/>
  <c r="E61" i="30" s="1"/>
  <c r="F61" i="30" s="1"/>
  <c r="G61" i="30" s="1"/>
  <c r="H61" i="30" s="1"/>
  <c r="I61" i="30" s="1"/>
  <c r="J61" i="30" s="1"/>
  <c r="K61" i="30" s="1"/>
  <c r="M61" i="30" s="1"/>
  <c r="N61" i="30" s="1"/>
  <c r="O61" i="30" s="1"/>
  <c r="P61" i="30" s="1"/>
  <c r="Q61" i="30" s="1"/>
  <c r="R61" i="30" s="1"/>
  <c r="S61" i="30" s="1"/>
  <c r="T61" i="30" s="1"/>
  <c r="U61" i="30" s="1"/>
  <c r="V61" i="30" s="1"/>
  <c r="B60" i="30"/>
  <c r="H76" i="30" s="1"/>
  <c r="C59" i="30"/>
  <c r="D59" i="30" s="1"/>
  <c r="E59" i="30" s="1"/>
  <c r="F59" i="30" s="1"/>
  <c r="G59" i="30" s="1"/>
  <c r="H59" i="30" s="1"/>
  <c r="I59" i="30" s="1"/>
  <c r="J59" i="30" s="1"/>
  <c r="K59" i="30" s="1"/>
  <c r="M58" i="30"/>
  <c r="C58" i="30"/>
  <c r="C57" i="30"/>
  <c r="D57" i="30" s="1"/>
  <c r="E57" i="30" s="1"/>
  <c r="F57" i="30" s="1"/>
  <c r="G57" i="30" s="1"/>
  <c r="E56" i="30"/>
  <c r="F56" i="30" s="1"/>
  <c r="G56" i="30" s="1"/>
  <c r="H56" i="30" s="1"/>
  <c r="I56" i="30" s="1"/>
  <c r="J56" i="30" s="1"/>
  <c r="K56" i="30" s="1"/>
  <c r="M56" i="30" s="1"/>
  <c r="N56" i="30" s="1"/>
  <c r="O56" i="30" s="1"/>
  <c r="P56" i="30" s="1"/>
  <c r="Q56" i="30" s="1"/>
  <c r="R56" i="30" s="1"/>
  <c r="S56" i="30" s="1"/>
  <c r="T56" i="30" s="1"/>
  <c r="U56" i="30" s="1"/>
  <c r="V56" i="30" s="1"/>
  <c r="D56" i="30"/>
  <c r="C56" i="30"/>
  <c r="C54" i="30"/>
  <c r="C55" i="30" s="1"/>
  <c r="C53" i="30"/>
  <c r="D53" i="30" s="1"/>
  <c r="E53" i="30" s="1"/>
  <c r="F53" i="30" s="1"/>
  <c r="G53" i="30" s="1"/>
  <c r="E52" i="30"/>
  <c r="F52" i="30" s="1"/>
  <c r="G52" i="30" s="1"/>
  <c r="H52" i="30" s="1"/>
  <c r="I52" i="30" s="1"/>
  <c r="J52" i="30" s="1"/>
  <c r="K52" i="30" s="1"/>
  <c r="M52" i="30" s="1"/>
  <c r="N52" i="30" s="1"/>
  <c r="O52" i="30" s="1"/>
  <c r="P52" i="30" s="1"/>
  <c r="Q52" i="30" s="1"/>
  <c r="R52" i="30" s="1"/>
  <c r="S52" i="30" s="1"/>
  <c r="T52" i="30" s="1"/>
  <c r="U52" i="30" s="1"/>
  <c r="V52" i="30" s="1"/>
  <c r="D52" i="30"/>
  <c r="C52" i="30"/>
  <c r="C51" i="30"/>
  <c r="D51" i="30" s="1"/>
  <c r="E51" i="30" s="1"/>
  <c r="F51" i="30" s="1"/>
  <c r="G51" i="30" s="1"/>
  <c r="H51" i="30" s="1"/>
  <c r="I51" i="30" s="1"/>
  <c r="J51" i="30" s="1"/>
  <c r="K51" i="30" s="1"/>
  <c r="M51" i="30" s="1"/>
  <c r="N51" i="30" s="1"/>
  <c r="O51" i="30" s="1"/>
  <c r="P51" i="30" s="1"/>
  <c r="Q51" i="30" s="1"/>
  <c r="R51" i="30" s="1"/>
  <c r="S51" i="30" s="1"/>
  <c r="T51" i="30" s="1"/>
  <c r="U51" i="30" s="1"/>
  <c r="V51" i="30" s="1"/>
  <c r="C50" i="30"/>
  <c r="U37" i="30"/>
  <c r="T37" i="30"/>
  <c r="S37" i="30"/>
  <c r="Q37" i="30"/>
  <c r="P37" i="30"/>
  <c r="M37" i="30"/>
  <c r="K37" i="30"/>
  <c r="H37" i="30"/>
  <c r="G37" i="30"/>
  <c r="D37" i="30"/>
  <c r="C37" i="30"/>
  <c r="B37" i="30"/>
  <c r="C36" i="30"/>
  <c r="D36" i="30" s="1"/>
  <c r="E36" i="30" s="1"/>
  <c r="F36" i="30" s="1"/>
  <c r="G36" i="30" s="1"/>
  <c r="H36" i="30" s="1"/>
  <c r="I36" i="30" s="1"/>
  <c r="J36" i="30" s="1"/>
  <c r="K36" i="30" s="1"/>
  <c r="M36" i="30" s="1"/>
  <c r="N36" i="30" s="1"/>
  <c r="O36" i="30" s="1"/>
  <c r="P36" i="30" s="1"/>
  <c r="Q36" i="30" s="1"/>
  <c r="R36" i="30" s="1"/>
  <c r="S36" i="30" s="1"/>
  <c r="T36" i="30" s="1"/>
  <c r="U36" i="30" s="1"/>
  <c r="V36" i="30" s="1"/>
  <c r="V35" i="30"/>
  <c r="U35" i="30"/>
  <c r="T35" i="30"/>
  <c r="S35" i="30"/>
  <c r="R35" i="30"/>
  <c r="Q35" i="30"/>
  <c r="P35" i="30"/>
  <c r="O35" i="30"/>
  <c r="N35" i="30"/>
  <c r="M35" i="30"/>
  <c r="K35" i="30"/>
  <c r="J35" i="30"/>
  <c r="I35" i="30"/>
  <c r="H35" i="30"/>
  <c r="G35" i="30"/>
  <c r="F35" i="30"/>
  <c r="E35" i="30"/>
  <c r="D35" i="30"/>
  <c r="C35" i="30"/>
  <c r="B35" i="30"/>
  <c r="B26" i="30"/>
  <c r="B25" i="30"/>
  <c r="B27" i="30" s="1"/>
  <c r="C17" i="30"/>
  <c r="D17" i="30" s="1"/>
  <c r="E17" i="30" s="1"/>
  <c r="F17" i="30" s="1"/>
  <c r="G17" i="30" s="1"/>
  <c r="H17" i="30" s="1"/>
  <c r="I17" i="30" s="1"/>
  <c r="J17" i="30" s="1"/>
  <c r="K17" i="30" s="1"/>
  <c r="M17" i="30" s="1"/>
  <c r="N17" i="30" s="1"/>
  <c r="O17" i="30" s="1"/>
  <c r="P17" i="30" s="1"/>
  <c r="Q17" i="30" s="1"/>
  <c r="R17" i="30" s="1"/>
  <c r="S17" i="30" s="1"/>
  <c r="T17" i="30" s="1"/>
  <c r="U17" i="30" s="1"/>
  <c r="V17" i="30" s="1"/>
  <c r="V16" i="30"/>
  <c r="U16" i="30"/>
  <c r="T16" i="30"/>
  <c r="S16" i="30"/>
  <c r="R16" i="30"/>
  <c r="Q16" i="30"/>
  <c r="P16" i="30"/>
  <c r="O16" i="30"/>
  <c r="N16" i="30"/>
  <c r="M16" i="30"/>
  <c r="K16" i="30"/>
  <c r="J16" i="30"/>
  <c r="I16" i="30"/>
  <c r="H16" i="30"/>
  <c r="G16" i="30"/>
  <c r="F16" i="30"/>
  <c r="E16" i="30"/>
  <c r="D16" i="30"/>
  <c r="C16" i="30"/>
  <c r="B16" i="30"/>
  <c r="B13" i="30"/>
  <c r="B32" i="30" s="1"/>
  <c r="B7" i="30"/>
  <c r="B6" i="30"/>
  <c r="B4" i="30"/>
  <c r="B5" i="30" s="1"/>
  <c r="V89" i="29"/>
  <c r="U89" i="29"/>
  <c r="U37" i="29" s="1"/>
  <c r="T89" i="29"/>
  <c r="T37" i="29" s="1"/>
  <c r="S89" i="29"/>
  <c r="R89" i="29"/>
  <c r="Q89" i="29"/>
  <c r="Q37" i="29" s="1"/>
  <c r="P89" i="29"/>
  <c r="P37" i="29" s="1"/>
  <c r="O89" i="29"/>
  <c r="N89" i="29"/>
  <c r="M89" i="29"/>
  <c r="M37" i="29" s="1"/>
  <c r="K89" i="29"/>
  <c r="K37" i="29" s="1"/>
  <c r="J89" i="29"/>
  <c r="I89" i="29"/>
  <c r="H89" i="29"/>
  <c r="G89" i="29"/>
  <c r="G37" i="29" s="1"/>
  <c r="F89" i="29"/>
  <c r="E89" i="29"/>
  <c r="D89" i="29"/>
  <c r="D37" i="29" s="1"/>
  <c r="C89" i="29"/>
  <c r="C37" i="29" s="1"/>
  <c r="B89" i="29"/>
  <c r="X88" i="29"/>
  <c r="X87" i="29"/>
  <c r="X86" i="29"/>
  <c r="X85" i="29"/>
  <c r="X84" i="29"/>
  <c r="H80" i="29"/>
  <c r="C80" i="29"/>
  <c r="C79" i="29"/>
  <c r="H78" i="29"/>
  <c r="C78" i="29"/>
  <c r="C77" i="29"/>
  <c r="H74" i="29"/>
  <c r="C74" i="29"/>
  <c r="H70" i="29"/>
  <c r="C70" i="29"/>
  <c r="H69" i="29"/>
  <c r="C69" i="29"/>
  <c r="H68" i="29"/>
  <c r="C68" i="29"/>
  <c r="H67" i="29"/>
  <c r="C67" i="29"/>
  <c r="H66" i="29"/>
  <c r="C66" i="29"/>
  <c r="H65" i="29"/>
  <c r="H71" i="29" s="1"/>
  <c r="C65" i="29"/>
  <c r="C71" i="29" s="1"/>
  <c r="D61" i="29"/>
  <c r="E61" i="29" s="1"/>
  <c r="F61" i="29" s="1"/>
  <c r="G61" i="29" s="1"/>
  <c r="H61" i="29" s="1"/>
  <c r="I61" i="29" s="1"/>
  <c r="J61" i="29" s="1"/>
  <c r="K61" i="29" s="1"/>
  <c r="M61" i="29" s="1"/>
  <c r="N61" i="29" s="1"/>
  <c r="O61" i="29" s="1"/>
  <c r="P61" i="29" s="1"/>
  <c r="Q61" i="29" s="1"/>
  <c r="R61" i="29" s="1"/>
  <c r="S61" i="29" s="1"/>
  <c r="T61" i="29" s="1"/>
  <c r="U61" i="29" s="1"/>
  <c r="V61" i="29" s="1"/>
  <c r="C61" i="29"/>
  <c r="B60" i="29"/>
  <c r="H81" i="29" s="1"/>
  <c r="C59" i="29"/>
  <c r="D59" i="29" s="1"/>
  <c r="E59" i="29" s="1"/>
  <c r="F59" i="29" s="1"/>
  <c r="G59" i="29" s="1"/>
  <c r="H59" i="29" s="1"/>
  <c r="I59" i="29" s="1"/>
  <c r="J59" i="29" s="1"/>
  <c r="K59" i="29" s="1"/>
  <c r="M58" i="29"/>
  <c r="C58" i="29"/>
  <c r="D58" i="29" s="1"/>
  <c r="D57" i="29"/>
  <c r="E57" i="29" s="1"/>
  <c r="F57" i="29" s="1"/>
  <c r="G57" i="29" s="1"/>
  <c r="C57" i="29"/>
  <c r="C56" i="29"/>
  <c r="D56" i="29" s="1"/>
  <c r="E56" i="29" s="1"/>
  <c r="F56" i="29" s="1"/>
  <c r="G56" i="29" s="1"/>
  <c r="H56" i="29" s="1"/>
  <c r="I56" i="29" s="1"/>
  <c r="J56" i="29" s="1"/>
  <c r="K56" i="29" s="1"/>
  <c r="M56" i="29" s="1"/>
  <c r="N56" i="29" s="1"/>
  <c r="O56" i="29" s="1"/>
  <c r="P56" i="29" s="1"/>
  <c r="Q56" i="29" s="1"/>
  <c r="R56" i="29" s="1"/>
  <c r="S56" i="29" s="1"/>
  <c r="T56" i="29" s="1"/>
  <c r="U56" i="29" s="1"/>
  <c r="V56" i="29" s="1"/>
  <c r="C54" i="29"/>
  <c r="C55" i="29" s="1"/>
  <c r="D53" i="29"/>
  <c r="E53" i="29" s="1"/>
  <c r="F53" i="29" s="1"/>
  <c r="G53" i="29" s="1"/>
  <c r="C53" i="29"/>
  <c r="C52" i="29"/>
  <c r="D52" i="29" s="1"/>
  <c r="E52" i="29" s="1"/>
  <c r="F52" i="29" s="1"/>
  <c r="G52" i="29" s="1"/>
  <c r="H52" i="29" s="1"/>
  <c r="I52" i="29" s="1"/>
  <c r="J52" i="29" s="1"/>
  <c r="K52" i="29" s="1"/>
  <c r="M52" i="29" s="1"/>
  <c r="N52" i="29" s="1"/>
  <c r="O52" i="29" s="1"/>
  <c r="P52" i="29" s="1"/>
  <c r="Q52" i="29" s="1"/>
  <c r="R52" i="29" s="1"/>
  <c r="S52" i="29" s="1"/>
  <c r="T52" i="29" s="1"/>
  <c r="U52" i="29" s="1"/>
  <c r="V52" i="29" s="1"/>
  <c r="C51" i="29"/>
  <c r="D51" i="29" s="1"/>
  <c r="E51" i="29" s="1"/>
  <c r="F51" i="29" s="1"/>
  <c r="G51" i="29" s="1"/>
  <c r="H51" i="29" s="1"/>
  <c r="I51" i="29" s="1"/>
  <c r="J51" i="29" s="1"/>
  <c r="K51" i="29" s="1"/>
  <c r="M51" i="29" s="1"/>
  <c r="N51" i="29" s="1"/>
  <c r="O51" i="29" s="1"/>
  <c r="P51" i="29" s="1"/>
  <c r="Q51" i="29" s="1"/>
  <c r="R51" i="29" s="1"/>
  <c r="S51" i="29" s="1"/>
  <c r="T51" i="29" s="1"/>
  <c r="U51" i="29" s="1"/>
  <c r="V51" i="29" s="1"/>
  <c r="C50" i="29"/>
  <c r="D50" i="29" s="1"/>
  <c r="V37" i="29"/>
  <c r="S37" i="29"/>
  <c r="R37" i="29"/>
  <c r="O37" i="29"/>
  <c r="N37" i="29"/>
  <c r="J37" i="29"/>
  <c r="I37" i="29"/>
  <c r="H37" i="29"/>
  <c r="F37" i="29"/>
  <c r="E37" i="29"/>
  <c r="B37" i="29"/>
  <c r="C36" i="29"/>
  <c r="D36" i="29" s="1"/>
  <c r="E36" i="29" s="1"/>
  <c r="F36" i="29" s="1"/>
  <c r="G36" i="29" s="1"/>
  <c r="H36" i="29" s="1"/>
  <c r="I36" i="29" s="1"/>
  <c r="J36" i="29" s="1"/>
  <c r="K36" i="29" s="1"/>
  <c r="M36" i="29" s="1"/>
  <c r="N36" i="29" s="1"/>
  <c r="O36" i="29" s="1"/>
  <c r="P36" i="29" s="1"/>
  <c r="Q36" i="29" s="1"/>
  <c r="R36" i="29" s="1"/>
  <c r="S36" i="29" s="1"/>
  <c r="T36" i="29" s="1"/>
  <c r="U36" i="29" s="1"/>
  <c r="V36" i="29" s="1"/>
  <c r="V35" i="29"/>
  <c r="U35" i="29"/>
  <c r="T35" i="29"/>
  <c r="S35" i="29"/>
  <c r="R35" i="29"/>
  <c r="Q35" i="29"/>
  <c r="P35" i="29"/>
  <c r="O35" i="29"/>
  <c r="N35" i="29"/>
  <c r="M35" i="29"/>
  <c r="K35" i="29"/>
  <c r="J35" i="29"/>
  <c r="I35" i="29"/>
  <c r="H35" i="29"/>
  <c r="G35" i="29"/>
  <c r="F35" i="29"/>
  <c r="E35" i="29"/>
  <c r="D35" i="29"/>
  <c r="C35" i="29"/>
  <c r="B35" i="29"/>
  <c r="C25" i="29"/>
  <c r="C23" i="29" s="1"/>
  <c r="C24" i="29" s="1"/>
  <c r="B25" i="29"/>
  <c r="B23" i="29" s="1"/>
  <c r="B24" i="29" s="1"/>
  <c r="C17" i="29"/>
  <c r="D17" i="29" s="1"/>
  <c r="E17" i="29" s="1"/>
  <c r="F17" i="29" s="1"/>
  <c r="G17" i="29" s="1"/>
  <c r="H17" i="29" s="1"/>
  <c r="I17" i="29" s="1"/>
  <c r="J17" i="29" s="1"/>
  <c r="K17" i="29" s="1"/>
  <c r="M17" i="29" s="1"/>
  <c r="N17" i="29" s="1"/>
  <c r="O17" i="29" s="1"/>
  <c r="P17" i="29" s="1"/>
  <c r="Q17" i="29" s="1"/>
  <c r="R17" i="29" s="1"/>
  <c r="S17" i="29" s="1"/>
  <c r="T17" i="29" s="1"/>
  <c r="U17" i="29" s="1"/>
  <c r="V17" i="29" s="1"/>
  <c r="V16" i="29"/>
  <c r="U16" i="29"/>
  <c r="T16" i="29"/>
  <c r="S16" i="29"/>
  <c r="R16" i="29"/>
  <c r="Q16" i="29"/>
  <c r="P16" i="29"/>
  <c r="O16" i="29"/>
  <c r="N16" i="29"/>
  <c r="M16" i="29"/>
  <c r="K16" i="29"/>
  <c r="J16" i="29"/>
  <c r="I16" i="29"/>
  <c r="H16" i="29"/>
  <c r="G16" i="29"/>
  <c r="F16" i="29"/>
  <c r="E16" i="29"/>
  <c r="D16" i="29"/>
  <c r="C16" i="29"/>
  <c r="B16" i="29"/>
  <c r="B6" i="29"/>
  <c r="B4" i="29" s="1"/>
  <c r="B5" i="29" s="1"/>
  <c r="C53" i="11"/>
  <c r="D53" i="11" s="1"/>
  <c r="E53" i="11" s="1"/>
  <c r="F53" i="11" s="1"/>
  <c r="G53" i="11" s="1"/>
  <c r="H53" i="11" s="1"/>
  <c r="I53" i="11" s="1"/>
  <c r="J53" i="11" s="1"/>
  <c r="K53" i="11" s="1"/>
  <c r="M53" i="11" s="1"/>
  <c r="N53" i="11" s="1"/>
  <c r="O53" i="11" s="1"/>
  <c r="P53" i="11" s="1"/>
  <c r="Q53" i="11" s="1"/>
  <c r="R53" i="11" s="1"/>
  <c r="S53" i="11" s="1"/>
  <c r="T53" i="11" s="1"/>
  <c r="U53" i="11" s="1"/>
  <c r="V53" i="11" s="1"/>
  <c r="C52" i="11"/>
  <c r="D52" i="11" s="1"/>
  <c r="E52" i="11" s="1"/>
  <c r="F52" i="11" s="1"/>
  <c r="G52" i="11" s="1"/>
  <c r="H52" i="11" s="1"/>
  <c r="I52" i="11" s="1"/>
  <c r="J52" i="11" s="1"/>
  <c r="K52" i="11" s="1"/>
  <c r="M52" i="11" s="1"/>
  <c r="N52" i="11" s="1"/>
  <c r="O52" i="11" s="1"/>
  <c r="P52" i="11" s="1"/>
  <c r="Q52" i="11" s="1"/>
  <c r="R52" i="11" s="1"/>
  <c r="S52" i="11" s="1"/>
  <c r="T52" i="11" s="1"/>
  <c r="U52" i="11" s="1"/>
  <c r="V52" i="11" s="1"/>
  <c r="C59" i="11"/>
  <c r="D59" i="11" s="1"/>
  <c r="E59" i="11" s="1"/>
  <c r="F59" i="11" s="1"/>
  <c r="G59" i="11" s="1"/>
  <c r="H59" i="11" s="1"/>
  <c r="I59" i="11" s="1"/>
  <c r="J59" i="11" s="1"/>
  <c r="K59" i="11" s="1"/>
  <c r="M59" i="11" s="1"/>
  <c r="N59" i="11" s="1"/>
  <c r="O59" i="11" s="1"/>
  <c r="P59" i="11" s="1"/>
  <c r="Q59" i="11" s="1"/>
  <c r="R59" i="11" s="1"/>
  <c r="S59" i="11" s="1"/>
  <c r="T59" i="11" s="1"/>
  <c r="U59" i="11" s="1"/>
  <c r="V59" i="11" s="1"/>
  <c r="M58" i="11"/>
  <c r="N58" i="11" s="1"/>
  <c r="O58" i="11" s="1"/>
  <c r="P58" i="11" s="1"/>
  <c r="Q58" i="11" s="1"/>
  <c r="R58" i="11" s="1"/>
  <c r="S58" i="11" s="1"/>
  <c r="T58" i="11" s="1"/>
  <c r="U58" i="11" s="1"/>
  <c r="V58" i="11" s="1"/>
  <c r="C58" i="11"/>
  <c r="D58" i="11" s="1"/>
  <c r="E58" i="11" s="1"/>
  <c r="F58" i="11" s="1"/>
  <c r="G58" i="11" s="1"/>
  <c r="H58" i="11" s="1"/>
  <c r="I58" i="11" s="1"/>
  <c r="J58" i="11" s="1"/>
  <c r="V35" i="11"/>
  <c r="U35" i="11"/>
  <c r="T35" i="11"/>
  <c r="S35" i="11"/>
  <c r="R35" i="11"/>
  <c r="Q35" i="11"/>
  <c r="P35" i="11"/>
  <c r="O35" i="11"/>
  <c r="N35" i="11"/>
  <c r="M35" i="11"/>
  <c r="K35" i="11"/>
  <c r="J35" i="11"/>
  <c r="I35" i="11"/>
  <c r="H35" i="11"/>
  <c r="G35" i="11"/>
  <c r="F35" i="11"/>
  <c r="E35" i="11"/>
  <c r="D35" i="11"/>
  <c r="C35" i="11"/>
  <c r="B35" i="11"/>
  <c r="V16" i="11"/>
  <c r="U16" i="11"/>
  <c r="T16" i="11"/>
  <c r="S16" i="11"/>
  <c r="R16" i="11"/>
  <c r="Q16" i="11"/>
  <c r="P16" i="11"/>
  <c r="O16" i="11"/>
  <c r="N16" i="11"/>
  <c r="M16" i="11"/>
  <c r="K16" i="11"/>
  <c r="J16" i="11"/>
  <c r="I16" i="11"/>
  <c r="H16" i="11"/>
  <c r="G16" i="11"/>
  <c r="F16" i="11"/>
  <c r="E16" i="11"/>
  <c r="D16" i="11"/>
  <c r="C16" i="11"/>
  <c r="B16" i="11"/>
  <c r="E5" i="25"/>
  <c r="B32" i="25"/>
  <c r="E32" i="25" s="1"/>
  <c r="A33" i="25"/>
  <c r="A34" i="25" s="1"/>
  <c r="A35" i="25" s="1"/>
  <c r="A36" i="25" s="1"/>
  <c r="A37" i="25" s="1"/>
  <c r="A38" i="25" s="1"/>
  <c r="A39" i="25" s="1"/>
  <c r="A40" i="25" s="1"/>
  <c r="A41" i="25" s="1"/>
  <c r="A42" i="25" s="1"/>
  <c r="A43" i="25" s="1"/>
  <c r="A44" i="25" s="1"/>
  <c r="A45" i="25" s="1"/>
  <c r="A46" i="25" s="1"/>
  <c r="A47" i="25" s="1"/>
  <c r="A48" i="25" s="1"/>
  <c r="A49" i="25" s="1"/>
  <c r="A50" i="25" s="1"/>
  <c r="A51" i="25" s="1"/>
  <c r="D32" i="25"/>
  <c r="C4" i="25"/>
  <c r="D5" i="25" s="1"/>
  <c r="D4" i="25"/>
  <c r="E4" i="25" s="1"/>
  <c r="A5" i="25"/>
  <c r="A6" i="25" s="1"/>
  <c r="A7" i="25" s="1"/>
  <c r="A8" i="25" s="1"/>
  <c r="A9" i="25" s="1"/>
  <c r="A10" i="25" s="1"/>
  <c r="A11" i="25" s="1"/>
  <c r="A12" i="25" s="1"/>
  <c r="A13" i="25" s="1"/>
  <c r="A14" i="25" s="1"/>
  <c r="A15" i="25" s="1"/>
  <c r="A16" i="25" s="1"/>
  <c r="A17" i="25" s="1"/>
  <c r="A18" i="25" s="1"/>
  <c r="A19" i="25" s="1"/>
  <c r="A20" i="25" s="1"/>
  <c r="A21" i="25" s="1"/>
  <c r="A22" i="25" s="1"/>
  <c r="A23" i="25" s="1"/>
  <c r="B24" i="25"/>
  <c r="X89" i="30" l="1"/>
  <c r="C6" i="29"/>
  <c r="C4" i="29" s="1"/>
  <c r="C5" i="29" s="1"/>
  <c r="B26" i="29"/>
  <c r="B27" i="29" s="1"/>
  <c r="C76" i="29"/>
  <c r="B23" i="30"/>
  <c r="B24" i="30" s="1"/>
  <c r="H71" i="30"/>
  <c r="C81" i="30"/>
  <c r="B7" i="29"/>
  <c r="B8" i="29" s="1"/>
  <c r="X89" i="29"/>
  <c r="C60" i="30"/>
  <c r="C76" i="30"/>
  <c r="H81" i="30"/>
  <c r="C81" i="29"/>
  <c r="F5" i="25"/>
  <c r="C32" i="25"/>
  <c r="D33" i="25" s="1"/>
  <c r="E33" i="25" s="1"/>
  <c r="B13" i="29"/>
  <c r="B32" i="29" s="1"/>
  <c r="B8" i="30"/>
  <c r="B12" i="30"/>
  <c r="B11" i="30"/>
  <c r="B31" i="30"/>
  <c r="B30" i="30"/>
  <c r="K60" i="30"/>
  <c r="M59" i="30"/>
  <c r="N59" i="30" s="1"/>
  <c r="O59" i="30" s="1"/>
  <c r="P59" i="30" s="1"/>
  <c r="Q59" i="30" s="1"/>
  <c r="R59" i="30" s="1"/>
  <c r="S59" i="30" s="1"/>
  <c r="T59" i="30" s="1"/>
  <c r="U59" i="30" s="1"/>
  <c r="V59" i="30" s="1"/>
  <c r="H53" i="30"/>
  <c r="I53" i="30" s="1"/>
  <c r="J53" i="30" s="1"/>
  <c r="K53" i="30" s="1"/>
  <c r="M53" i="30" s="1"/>
  <c r="N53" i="30" s="1"/>
  <c r="O53" i="30" s="1"/>
  <c r="P53" i="30" s="1"/>
  <c r="Q53" i="30" s="1"/>
  <c r="R53" i="30" s="1"/>
  <c r="S53" i="30" s="1"/>
  <c r="T53" i="30" s="1"/>
  <c r="U53" i="30" s="1"/>
  <c r="V53" i="30" s="1"/>
  <c r="H77" i="30"/>
  <c r="H57" i="30"/>
  <c r="I57" i="30" s="1"/>
  <c r="J57" i="30" s="1"/>
  <c r="K57" i="30" s="1"/>
  <c r="M57" i="30" s="1"/>
  <c r="N57" i="30" s="1"/>
  <c r="O57" i="30" s="1"/>
  <c r="P57" i="30" s="1"/>
  <c r="Q57" i="30" s="1"/>
  <c r="R57" i="30" s="1"/>
  <c r="S57" i="30" s="1"/>
  <c r="T57" i="30" s="1"/>
  <c r="U57" i="30" s="1"/>
  <c r="V57" i="30" s="1"/>
  <c r="H79" i="30"/>
  <c r="C26" i="30"/>
  <c r="C6" i="30"/>
  <c r="D50" i="30"/>
  <c r="D54" i="30"/>
  <c r="D58" i="30"/>
  <c r="N58" i="30"/>
  <c r="C7" i="30"/>
  <c r="C13" i="30"/>
  <c r="C32" i="30" s="1"/>
  <c r="C25" i="30"/>
  <c r="M59" i="29"/>
  <c r="N59" i="29" s="1"/>
  <c r="O59" i="29" s="1"/>
  <c r="P59" i="29" s="1"/>
  <c r="Q59" i="29" s="1"/>
  <c r="R59" i="29" s="1"/>
  <c r="S59" i="29" s="1"/>
  <c r="T59" i="29" s="1"/>
  <c r="U59" i="29" s="1"/>
  <c r="V59" i="29" s="1"/>
  <c r="K60" i="29"/>
  <c r="B12" i="29"/>
  <c r="B31" i="29"/>
  <c r="B30" i="29"/>
  <c r="B11" i="29"/>
  <c r="D60" i="29"/>
  <c r="E58" i="29"/>
  <c r="C12" i="29"/>
  <c r="C11" i="29"/>
  <c r="C31" i="29"/>
  <c r="C30" i="29"/>
  <c r="D25" i="29"/>
  <c r="D6" i="29"/>
  <c r="E50" i="29"/>
  <c r="H77" i="29"/>
  <c r="H53" i="29"/>
  <c r="I53" i="29" s="1"/>
  <c r="J53" i="29" s="1"/>
  <c r="K53" i="29" s="1"/>
  <c r="M53" i="29" s="1"/>
  <c r="N53" i="29" s="1"/>
  <c r="O53" i="29" s="1"/>
  <c r="P53" i="29" s="1"/>
  <c r="Q53" i="29" s="1"/>
  <c r="R53" i="29" s="1"/>
  <c r="S53" i="29" s="1"/>
  <c r="T53" i="29" s="1"/>
  <c r="U53" i="29" s="1"/>
  <c r="V53" i="29" s="1"/>
  <c r="H79" i="29"/>
  <c r="H57" i="29"/>
  <c r="I57" i="29" s="1"/>
  <c r="J57" i="29" s="1"/>
  <c r="K57" i="29" s="1"/>
  <c r="M57" i="29" s="1"/>
  <c r="N57" i="29" s="1"/>
  <c r="O57" i="29" s="1"/>
  <c r="P57" i="29" s="1"/>
  <c r="Q57" i="29" s="1"/>
  <c r="R57" i="29" s="1"/>
  <c r="S57" i="29" s="1"/>
  <c r="T57" i="29" s="1"/>
  <c r="U57" i="29" s="1"/>
  <c r="V57" i="29" s="1"/>
  <c r="C60" i="29"/>
  <c r="C13" i="29" s="1"/>
  <c r="C32" i="29" s="1"/>
  <c r="D54" i="29"/>
  <c r="N58" i="29"/>
  <c r="H76" i="29"/>
  <c r="C5" i="25"/>
  <c r="E14" i="24"/>
  <c r="E13" i="24"/>
  <c r="D13" i="24"/>
  <c r="E10" i="24"/>
  <c r="E9" i="24"/>
  <c r="E7" i="24"/>
  <c r="E8" i="24" s="1"/>
  <c r="E4" i="24"/>
  <c r="E3" i="24"/>
  <c r="X84" i="11"/>
  <c r="X85" i="11"/>
  <c r="X86" i="11"/>
  <c r="X87" i="11"/>
  <c r="X88" i="11"/>
  <c r="M89" i="11"/>
  <c r="N89" i="11"/>
  <c r="O89" i="11"/>
  <c r="P89" i="11"/>
  <c r="Q89" i="11"/>
  <c r="R89" i="11"/>
  <c r="S89" i="11"/>
  <c r="T89" i="11"/>
  <c r="U89" i="11"/>
  <c r="V89" i="11"/>
  <c r="C57" i="11"/>
  <c r="D57" i="11" s="1"/>
  <c r="C56" i="11"/>
  <c r="D56" i="11" s="1"/>
  <c r="E56" i="11" s="1"/>
  <c r="F56" i="11" s="1"/>
  <c r="H77" i="11"/>
  <c r="H80" i="11"/>
  <c r="H78" i="11"/>
  <c r="H74" i="11"/>
  <c r="C74" i="11"/>
  <c r="H65" i="11"/>
  <c r="C65" i="11"/>
  <c r="V60" i="11"/>
  <c r="U60" i="11"/>
  <c r="T60" i="11"/>
  <c r="S60" i="11"/>
  <c r="R60" i="11"/>
  <c r="Q60" i="11"/>
  <c r="P60" i="11"/>
  <c r="O60" i="11"/>
  <c r="N60" i="11"/>
  <c r="M60" i="11"/>
  <c r="K60" i="11"/>
  <c r="J60" i="11"/>
  <c r="I60" i="11"/>
  <c r="H60" i="11"/>
  <c r="G60" i="11"/>
  <c r="F60" i="11"/>
  <c r="E60" i="11"/>
  <c r="D60" i="11"/>
  <c r="C60" i="11"/>
  <c r="B60" i="11"/>
  <c r="C80" i="11"/>
  <c r="C79" i="11"/>
  <c r="C78" i="11"/>
  <c r="C77" i="11"/>
  <c r="H66" i="11"/>
  <c r="H70" i="11"/>
  <c r="H69" i="11"/>
  <c r="H68" i="11"/>
  <c r="H67" i="11"/>
  <c r="C66" i="11"/>
  <c r="C70" i="11"/>
  <c r="C69" i="11"/>
  <c r="C68" i="11"/>
  <c r="C67" i="11"/>
  <c r="C61" i="11"/>
  <c r="D61" i="11" s="1"/>
  <c r="E61" i="11" s="1"/>
  <c r="F61" i="11" s="1"/>
  <c r="G61" i="11" s="1"/>
  <c r="H61" i="11" s="1"/>
  <c r="I61" i="11" s="1"/>
  <c r="J61" i="11" s="1"/>
  <c r="K61" i="11" s="1"/>
  <c r="M61" i="11" s="1"/>
  <c r="N61" i="11" s="1"/>
  <c r="O61" i="11" s="1"/>
  <c r="P61" i="11" s="1"/>
  <c r="Q61" i="11" s="1"/>
  <c r="R61" i="11" s="1"/>
  <c r="S61" i="11" s="1"/>
  <c r="T61" i="11" s="1"/>
  <c r="U61" i="11" s="1"/>
  <c r="V61" i="11" s="1"/>
  <c r="C54" i="11"/>
  <c r="D54" i="11" s="1"/>
  <c r="C51" i="11"/>
  <c r="D51" i="11" s="1"/>
  <c r="E51" i="11" s="1"/>
  <c r="F51" i="11" s="1"/>
  <c r="G51" i="11" s="1"/>
  <c r="H51" i="11" s="1"/>
  <c r="I51" i="11" s="1"/>
  <c r="J51" i="11" s="1"/>
  <c r="K51" i="11" s="1"/>
  <c r="M51" i="11" s="1"/>
  <c r="N51" i="11" s="1"/>
  <c r="O51" i="11" s="1"/>
  <c r="P51" i="11" s="1"/>
  <c r="Q51" i="11" s="1"/>
  <c r="R51" i="11" s="1"/>
  <c r="S51" i="11" s="1"/>
  <c r="T51" i="11" s="1"/>
  <c r="U51" i="11" s="1"/>
  <c r="V51" i="11" s="1"/>
  <c r="C76" i="11" l="1"/>
  <c r="B13" i="11"/>
  <c r="B32" i="11" s="1"/>
  <c r="B7" i="11"/>
  <c r="C26" i="29"/>
  <c r="C27" i="29" s="1"/>
  <c r="C33" i="29" s="1"/>
  <c r="C38" i="29" s="1"/>
  <c r="C42" i="29" s="1"/>
  <c r="C33" i="25"/>
  <c r="M60" i="29"/>
  <c r="C7" i="29"/>
  <c r="C8" i="29" s="1"/>
  <c r="B14" i="30"/>
  <c r="B18" i="30" s="1"/>
  <c r="B41" i="30" s="1"/>
  <c r="B43" i="30" s="1"/>
  <c r="B44" i="30" s="1"/>
  <c r="B33" i="30"/>
  <c r="B38" i="30" s="1"/>
  <c r="B42" i="30" s="1"/>
  <c r="C27" i="30"/>
  <c r="C23" i="30"/>
  <c r="C24" i="30" s="1"/>
  <c r="O58" i="30"/>
  <c r="N60" i="30"/>
  <c r="E50" i="30"/>
  <c r="D25" i="30"/>
  <c r="D6" i="30"/>
  <c r="E54" i="30"/>
  <c r="D55" i="30"/>
  <c r="D13" i="30" s="1"/>
  <c r="D32" i="30" s="1"/>
  <c r="M60" i="30"/>
  <c r="E58" i="30"/>
  <c r="D60" i="30"/>
  <c r="C8" i="30"/>
  <c r="C4" i="30"/>
  <c r="C5" i="30" s="1"/>
  <c r="B33" i="29"/>
  <c r="B38" i="29" s="1"/>
  <c r="B42" i="29" s="1"/>
  <c r="C14" i="29"/>
  <c r="C18" i="29" s="1"/>
  <c r="C41" i="29" s="1"/>
  <c r="B14" i="29"/>
  <c r="B18" i="29" s="1"/>
  <c r="B41" i="29" s="1"/>
  <c r="D4" i="29"/>
  <c r="D5" i="29" s="1"/>
  <c r="D55" i="29"/>
  <c r="E54" i="29"/>
  <c r="N60" i="29"/>
  <c r="O58" i="29"/>
  <c r="F50" i="29"/>
  <c r="E25" i="29"/>
  <c r="E6" i="29"/>
  <c r="D23" i="29"/>
  <c r="D24" i="29" s="1"/>
  <c r="F58" i="29"/>
  <c r="E60" i="29"/>
  <c r="C34" i="25"/>
  <c r="D34" i="25"/>
  <c r="E34" i="25" s="1"/>
  <c r="F4" i="25"/>
  <c r="C6" i="25"/>
  <c r="D6" i="25"/>
  <c r="E6" i="25" s="1"/>
  <c r="C81" i="11"/>
  <c r="B26" i="11"/>
  <c r="C71" i="11"/>
  <c r="E57" i="11"/>
  <c r="F57" i="11" s="1"/>
  <c r="G57" i="11" s="1"/>
  <c r="H76" i="11"/>
  <c r="H81" i="11"/>
  <c r="G56" i="11"/>
  <c r="H71" i="11"/>
  <c r="D55" i="11"/>
  <c r="E54" i="11"/>
  <c r="C55" i="11"/>
  <c r="U37" i="11"/>
  <c r="T37" i="11"/>
  <c r="S37" i="11"/>
  <c r="R37" i="11"/>
  <c r="Q37" i="11"/>
  <c r="P37" i="11"/>
  <c r="O37" i="11"/>
  <c r="N37" i="11"/>
  <c r="M37" i="11"/>
  <c r="K89" i="11"/>
  <c r="K37" i="11" s="1"/>
  <c r="J89" i="11"/>
  <c r="J37" i="11" s="1"/>
  <c r="I89" i="11"/>
  <c r="I37" i="11" s="1"/>
  <c r="H89" i="11"/>
  <c r="H37" i="11" s="1"/>
  <c r="G89" i="11"/>
  <c r="G37" i="11" s="1"/>
  <c r="F89" i="11"/>
  <c r="F37" i="11" s="1"/>
  <c r="E89" i="11"/>
  <c r="E37" i="11" s="1"/>
  <c r="D89" i="11"/>
  <c r="C89" i="11"/>
  <c r="C37" i="11" s="1"/>
  <c r="B89" i="11"/>
  <c r="B37" i="11" s="1"/>
  <c r="C50" i="11"/>
  <c r="C36" i="11"/>
  <c r="D36" i="11" s="1"/>
  <c r="E36" i="11" s="1"/>
  <c r="F36" i="11" s="1"/>
  <c r="G36" i="11" s="1"/>
  <c r="H36" i="11" s="1"/>
  <c r="I36" i="11" s="1"/>
  <c r="J36" i="11" s="1"/>
  <c r="K36" i="11" s="1"/>
  <c r="M36" i="11" s="1"/>
  <c r="N36" i="11" s="1"/>
  <c r="O36" i="11" s="1"/>
  <c r="P36" i="11" s="1"/>
  <c r="Q36" i="11" s="1"/>
  <c r="R36" i="11" s="1"/>
  <c r="S36" i="11" s="1"/>
  <c r="T36" i="11" s="1"/>
  <c r="U36" i="11" s="1"/>
  <c r="V36" i="11" s="1"/>
  <c r="B25" i="11"/>
  <c r="B23" i="11" s="1"/>
  <c r="B24" i="11" s="1"/>
  <c r="C17" i="11"/>
  <c r="D17" i="11" s="1"/>
  <c r="E17" i="11" s="1"/>
  <c r="F17" i="11" s="1"/>
  <c r="G17" i="11" s="1"/>
  <c r="H17" i="11" s="1"/>
  <c r="I17" i="11" s="1"/>
  <c r="J17" i="11" s="1"/>
  <c r="K17" i="11" s="1"/>
  <c r="M17" i="11" s="1"/>
  <c r="N17" i="11" s="1"/>
  <c r="O17" i="11" s="1"/>
  <c r="P17" i="11" s="1"/>
  <c r="Q17" i="11" s="1"/>
  <c r="R17" i="11" s="1"/>
  <c r="S17" i="11" s="1"/>
  <c r="T17" i="11" s="1"/>
  <c r="U17" i="11" s="1"/>
  <c r="V17" i="11" s="1"/>
  <c r="B6" i="11"/>
  <c r="B4" i="11" s="1"/>
  <c r="B5" i="11" s="1"/>
  <c r="B43" i="29" l="1"/>
  <c r="B44" i="29" s="1"/>
  <c r="D4" i="30"/>
  <c r="D5" i="30" s="1"/>
  <c r="C31" i="30"/>
  <c r="C33" i="30" s="1"/>
  <c r="C38" i="30" s="1"/>
  <c r="C42" i="30" s="1"/>
  <c r="C30" i="30"/>
  <c r="C12" i="30"/>
  <c r="C11" i="30"/>
  <c r="C14" i="30" s="1"/>
  <c r="C18" i="30" s="1"/>
  <c r="C41" i="30" s="1"/>
  <c r="F58" i="30"/>
  <c r="E60" i="30"/>
  <c r="F54" i="30"/>
  <c r="E55" i="30"/>
  <c r="E7" i="30" s="1"/>
  <c r="D23" i="30"/>
  <c r="D24" i="30" s="1"/>
  <c r="P58" i="30"/>
  <c r="O60" i="30"/>
  <c r="D7" i="30"/>
  <c r="D8" i="30" s="1"/>
  <c r="D26" i="30"/>
  <c r="D27" i="30" s="1"/>
  <c r="E25" i="30"/>
  <c r="F50" i="30"/>
  <c r="E26" i="30"/>
  <c r="E6" i="30"/>
  <c r="C43" i="29"/>
  <c r="C44" i="29"/>
  <c r="G58" i="29"/>
  <c r="F60" i="29"/>
  <c r="E4" i="29"/>
  <c r="E5" i="29" s="1"/>
  <c r="F54" i="29"/>
  <c r="E55" i="29"/>
  <c r="F6" i="29"/>
  <c r="G50" i="29"/>
  <c r="F25" i="29"/>
  <c r="D13" i="29"/>
  <c r="D32" i="29" s="1"/>
  <c r="D26" i="29"/>
  <c r="D27" i="29" s="1"/>
  <c r="D7" i="29"/>
  <c r="D8" i="29" s="1"/>
  <c r="E23" i="29"/>
  <c r="E24" i="29" s="1"/>
  <c r="D31" i="29"/>
  <c r="D30" i="29"/>
  <c r="D12" i="29"/>
  <c r="D11" i="29"/>
  <c r="P58" i="29"/>
  <c r="O60" i="29"/>
  <c r="C35" i="25"/>
  <c r="D35" i="25"/>
  <c r="E35" i="25" s="1"/>
  <c r="C7" i="25"/>
  <c r="D7" i="25"/>
  <c r="X89" i="11"/>
  <c r="C25" i="11"/>
  <c r="C23" i="11" s="1"/>
  <c r="C26" i="11"/>
  <c r="C13" i="11"/>
  <c r="C32" i="11" s="1"/>
  <c r="B12" i="11"/>
  <c r="B30" i="11"/>
  <c r="B31" i="11"/>
  <c r="B11" i="11"/>
  <c r="H57" i="11"/>
  <c r="H79" i="11"/>
  <c r="H56" i="11"/>
  <c r="D50" i="11"/>
  <c r="D6" i="11" s="1"/>
  <c r="C7" i="11"/>
  <c r="D37" i="11"/>
  <c r="B8" i="11"/>
  <c r="B27" i="11"/>
  <c r="E55" i="11"/>
  <c r="F54" i="11"/>
  <c r="V37" i="11"/>
  <c r="E50" i="11"/>
  <c r="C24" i="11"/>
  <c r="C6" i="11"/>
  <c r="E7" i="25" l="1"/>
  <c r="F7" i="25" s="1"/>
  <c r="E13" i="30"/>
  <c r="E32" i="30" s="1"/>
  <c r="C43" i="30"/>
  <c r="C44" i="30" s="1"/>
  <c r="F55" i="30"/>
  <c r="G54" i="30"/>
  <c r="D31" i="30"/>
  <c r="D30" i="30"/>
  <c r="D33" i="30" s="1"/>
  <c r="D38" i="30" s="1"/>
  <c r="D42" i="30" s="1"/>
  <c r="D11" i="30"/>
  <c r="D12" i="30"/>
  <c r="F60" i="30"/>
  <c r="F7" i="30" s="1"/>
  <c r="G58" i="30"/>
  <c r="E27" i="30"/>
  <c r="E23" i="30"/>
  <c r="E24" i="30"/>
  <c r="E8" i="30"/>
  <c r="E4" i="30"/>
  <c r="E5" i="30" s="1"/>
  <c r="F13" i="30"/>
  <c r="F32" i="30" s="1"/>
  <c r="F6" i="30"/>
  <c r="F25" i="30"/>
  <c r="G50" i="30"/>
  <c r="P60" i="30"/>
  <c r="Q58" i="30"/>
  <c r="F23" i="29"/>
  <c r="F24" i="29" s="1"/>
  <c r="F4" i="29"/>
  <c r="F5" i="29" s="1"/>
  <c r="G54" i="29"/>
  <c r="F55" i="29"/>
  <c r="G6" i="29"/>
  <c r="H50" i="29"/>
  <c r="G25" i="29"/>
  <c r="E7" i="29"/>
  <c r="E8" i="29" s="1"/>
  <c r="E26" i="29"/>
  <c r="E27" i="29" s="1"/>
  <c r="E31" i="29"/>
  <c r="E30" i="29"/>
  <c r="E12" i="29"/>
  <c r="E11" i="29"/>
  <c r="Q58" i="29"/>
  <c r="P60" i="29"/>
  <c r="G60" i="29"/>
  <c r="H58" i="29"/>
  <c r="D33" i="29"/>
  <c r="D38" i="29" s="1"/>
  <c r="D42" i="29" s="1"/>
  <c r="E13" i="29"/>
  <c r="E32" i="29" s="1"/>
  <c r="D14" i="29"/>
  <c r="D18" i="29" s="1"/>
  <c r="D41" i="29" s="1"/>
  <c r="C36" i="25"/>
  <c r="D36" i="25"/>
  <c r="E36" i="25" s="1"/>
  <c r="F6" i="25"/>
  <c r="D8" i="25"/>
  <c r="C8" i="25"/>
  <c r="B14" i="11"/>
  <c r="B18" i="11" s="1"/>
  <c r="B41" i="11" s="1"/>
  <c r="C27" i="11"/>
  <c r="D25" i="11"/>
  <c r="E26" i="11"/>
  <c r="E13" i="11"/>
  <c r="E32" i="11" s="1"/>
  <c r="D26" i="11"/>
  <c r="D27" i="11" s="1"/>
  <c r="D13" i="11"/>
  <c r="D32" i="11" s="1"/>
  <c r="B33" i="11"/>
  <c r="B38" i="11" s="1"/>
  <c r="B42" i="11" s="1"/>
  <c r="I57" i="11"/>
  <c r="I56" i="11"/>
  <c r="D7" i="11"/>
  <c r="D8" i="11" s="1"/>
  <c r="E7" i="11"/>
  <c r="F55" i="11"/>
  <c r="G54" i="11"/>
  <c r="D23" i="11"/>
  <c r="D24" i="11" s="1"/>
  <c r="C8" i="11"/>
  <c r="C4" i="11"/>
  <c r="C5" i="11" s="1"/>
  <c r="D4" i="11"/>
  <c r="D5" i="11" s="1"/>
  <c r="E25" i="11"/>
  <c r="F50" i="11"/>
  <c r="E6" i="11"/>
  <c r="E8" i="25" l="1"/>
  <c r="F8" i="25" s="1"/>
  <c r="F26" i="30"/>
  <c r="F27" i="30" s="1"/>
  <c r="D14" i="30"/>
  <c r="D18" i="30" s="1"/>
  <c r="D41" i="30" s="1"/>
  <c r="D43" i="30" s="1"/>
  <c r="D44" i="30" s="1"/>
  <c r="F8" i="30"/>
  <c r="F4" i="30"/>
  <c r="F5" i="30" s="1"/>
  <c r="E30" i="30"/>
  <c r="E12" i="30"/>
  <c r="E11" i="30"/>
  <c r="E31" i="30"/>
  <c r="Q60" i="30"/>
  <c r="R58" i="30"/>
  <c r="G55" i="30"/>
  <c r="H54" i="30"/>
  <c r="F23" i="30"/>
  <c r="F24" i="30" s="1"/>
  <c r="G25" i="30"/>
  <c r="G6" i="30"/>
  <c r="H50" i="30"/>
  <c r="G60" i="30"/>
  <c r="G13" i="30" s="1"/>
  <c r="G32" i="30" s="1"/>
  <c r="H58" i="30"/>
  <c r="Q60" i="29"/>
  <c r="R58" i="29"/>
  <c r="H25" i="29"/>
  <c r="I50" i="29"/>
  <c r="H6" i="29"/>
  <c r="F11" i="29"/>
  <c r="F31" i="29"/>
  <c r="F30" i="29"/>
  <c r="F12" i="29"/>
  <c r="G23" i="29"/>
  <c r="G24" i="29" s="1"/>
  <c r="G4" i="29"/>
  <c r="G5" i="29" s="1"/>
  <c r="G55" i="29"/>
  <c r="H54" i="29"/>
  <c r="H60" i="29"/>
  <c r="I58" i="29"/>
  <c r="F26" i="29"/>
  <c r="F27" i="29" s="1"/>
  <c r="F7" i="29"/>
  <c r="F8" i="29" s="1"/>
  <c r="D43" i="29"/>
  <c r="D44" i="29" s="1"/>
  <c r="E14" i="29"/>
  <c r="E18" i="29" s="1"/>
  <c r="E41" i="29" s="1"/>
  <c r="E43" i="29" s="1"/>
  <c r="E33" i="29"/>
  <c r="E38" i="29" s="1"/>
  <c r="E42" i="29" s="1"/>
  <c r="F13" i="29"/>
  <c r="F32" i="29" s="1"/>
  <c r="D37" i="25"/>
  <c r="E37" i="25" s="1"/>
  <c r="C37" i="25"/>
  <c r="D9" i="25"/>
  <c r="E9" i="25" s="1"/>
  <c r="C9" i="25"/>
  <c r="B43" i="11"/>
  <c r="B44" i="11" s="1"/>
  <c r="F26" i="11"/>
  <c r="F13" i="11"/>
  <c r="F32" i="11" s="1"/>
  <c r="C31" i="11"/>
  <c r="C30" i="11"/>
  <c r="D30" i="11"/>
  <c r="D31" i="11"/>
  <c r="J57" i="11"/>
  <c r="J56" i="11"/>
  <c r="C12" i="11"/>
  <c r="C11" i="11"/>
  <c r="F7" i="11"/>
  <c r="D11" i="11"/>
  <c r="D12" i="11"/>
  <c r="H54" i="11"/>
  <c r="G55" i="11"/>
  <c r="E8" i="11"/>
  <c r="E4" i="11"/>
  <c r="E5" i="11" s="1"/>
  <c r="E23" i="11"/>
  <c r="E24" i="11" s="1"/>
  <c r="E27" i="11"/>
  <c r="F6" i="11"/>
  <c r="G50" i="11"/>
  <c r="F25" i="11"/>
  <c r="G7" i="30" l="1"/>
  <c r="G26" i="30"/>
  <c r="G27" i="30" s="1"/>
  <c r="E14" i="30"/>
  <c r="E18" i="30" s="1"/>
  <c r="E41" i="30" s="1"/>
  <c r="E33" i="30"/>
  <c r="E38" i="30" s="1"/>
  <c r="E42" i="30" s="1"/>
  <c r="E43" i="30" s="1"/>
  <c r="E44" i="30" s="1"/>
  <c r="G23" i="30"/>
  <c r="G24" i="30" s="1"/>
  <c r="I58" i="30"/>
  <c r="H60" i="30"/>
  <c r="G8" i="30"/>
  <c r="G4" i="30"/>
  <c r="G5" i="30" s="1"/>
  <c r="I50" i="30"/>
  <c r="H6" i="30"/>
  <c r="H25" i="30"/>
  <c r="S58" i="30"/>
  <c r="R60" i="30"/>
  <c r="F12" i="30"/>
  <c r="F11" i="30"/>
  <c r="F14" i="30" s="1"/>
  <c r="F18" i="30" s="1"/>
  <c r="F41" i="30" s="1"/>
  <c r="F31" i="30"/>
  <c r="F30" i="30"/>
  <c r="F33" i="30" s="1"/>
  <c r="F38" i="30" s="1"/>
  <c r="F42" i="30" s="1"/>
  <c r="I54" i="30"/>
  <c r="H55" i="30"/>
  <c r="H26" i="30" s="1"/>
  <c r="G12" i="29"/>
  <c r="G11" i="29"/>
  <c r="G31" i="29"/>
  <c r="G30" i="29"/>
  <c r="J58" i="29"/>
  <c r="J60" i="29" s="1"/>
  <c r="I60" i="29"/>
  <c r="R60" i="29"/>
  <c r="S58" i="29"/>
  <c r="G26" i="29"/>
  <c r="G27" i="29" s="1"/>
  <c r="G7" i="29"/>
  <c r="G8" i="29" s="1"/>
  <c r="G13" i="29"/>
  <c r="G32" i="29" s="1"/>
  <c r="H55" i="29"/>
  <c r="I54" i="29"/>
  <c r="H4" i="29"/>
  <c r="H5" i="29" s="1"/>
  <c r="H24" i="29"/>
  <c r="H23" i="29"/>
  <c r="J50" i="29"/>
  <c r="I25" i="29"/>
  <c r="I6" i="29"/>
  <c r="F33" i="29"/>
  <c r="F38" i="29" s="1"/>
  <c r="F42" i="29" s="1"/>
  <c r="F14" i="29"/>
  <c r="F18" i="29" s="1"/>
  <c r="F41" i="29" s="1"/>
  <c r="E44" i="29"/>
  <c r="C38" i="25"/>
  <c r="D38" i="25"/>
  <c r="E38" i="25" s="1"/>
  <c r="D10" i="25"/>
  <c r="C10" i="25"/>
  <c r="D14" i="11"/>
  <c r="D18" i="11" s="1"/>
  <c r="D41" i="11" s="1"/>
  <c r="C33" i="11"/>
  <c r="C38" i="11" s="1"/>
  <c r="C42" i="11" s="1"/>
  <c r="D33" i="11"/>
  <c r="D38" i="11" s="1"/>
  <c r="D42" i="11" s="1"/>
  <c r="G26" i="11"/>
  <c r="G13" i="11"/>
  <c r="G32" i="11" s="1"/>
  <c r="E30" i="11"/>
  <c r="E31" i="11"/>
  <c r="K57" i="11"/>
  <c r="C14" i="11"/>
  <c r="C18" i="11" s="1"/>
  <c r="C41" i="11" s="1"/>
  <c r="K56" i="11"/>
  <c r="M56" i="11" s="1"/>
  <c r="N56" i="11" s="1"/>
  <c r="O56" i="11" s="1"/>
  <c r="P56" i="11" s="1"/>
  <c r="Q56" i="11" s="1"/>
  <c r="R56" i="11" s="1"/>
  <c r="S56" i="11" s="1"/>
  <c r="T56" i="11" s="1"/>
  <c r="U56" i="11" s="1"/>
  <c r="V56" i="11" s="1"/>
  <c r="G7" i="11"/>
  <c r="E12" i="11"/>
  <c r="E11" i="11"/>
  <c r="H55" i="11"/>
  <c r="I54" i="11"/>
  <c r="H50" i="11"/>
  <c r="G25" i="11"/>
  <c r="G6" i="11"/>
  <c r="F4" i="11"/>
  <c r="F5" i="11" s="1"/>
  <c r="F8" i="11"/>
  <c r="F23" i="11"/>
  <c r="F24" i="11" s="1"/>
  <c r="F27" i="11"/>
  <c r="E10" i="25" l="1"/>
  <c r="F10" i="25" s="1"/>
  <c r="G14" i="29"/>
  <c r="G18" i="29" s="1"/>
  <c r="G41" i="29" s="1"/>
  <c r="H7" i="30"/>
  <c r="H8" i="30" s="1"/>
  <c r="G31" i="30"/>
  <c r="G30" i="30"/>
  <c r="G12" i="30"/>
  <c r="G11" i="30"/>
  <c r="G14" i="30" s="1"/>
  <c r="G18" i="30" s="1"/>
  <c r="G41" i="30" s="1"/>
  <c r="H4" i="30"/>
  <c r="H5" i="30"/>
  <c r="H27" i="30"/>
  <c r="H23" i="30"/>
  <c r="H24" i="30" s="1"/>
  <c r="I60" i="30"/>
  <c r="J58" i="30"/>
  <c r="J60" i="30" s="1"/>
  <c r="J50" i="30"/>
  <c r="I6" i="30"/>
  <c r="I25" i="30"/>
  <c r="F43" i="30"/>
  <c r="F44" i="30" s="1"/>
  <c r="H13" i="30"/>
  <c r="H32" i="30" s="1"/>
  <c r="G33" i="30"/>
  <c r="G38" i="30" s="1"/>
  <c r="G42" i="30" s="1"/>
  <c r="J54" i="30"/>
  <c r="I55" i="30"/>
  <c r="I13" i="30" s="1"/>
  <c r="I32" i="30" s="1"/>
  <c r="T58" i="30"/>
  <c r="S60" i="30"/>
  <c r="I23" i="29"/>
  <c r="I24" i="29" s="1"/>
  <c r="H31" i="29"/>
  <c r="H30" i="29"/>
  <c r="H12" i="29"/>
  <c r="H11" i="29"/>
  <c r="K50" i="29"/>
  <c r="J25" i="29"/>
  <c r="J6" i="29"/>
  <c r="H26" i="29"/>
  <c r="H27" i="29" s="1"/>
  <c r="H7" i="29"/>
  <c r="H8" i="29" s="1"/>
  <c r="H13" i="29"/>
  <c r="H32" i="29" s="1"/>
  <c r="T58" i="29"/>
  <c r="S60" i="29"/>
  <c r="I4" i="29"/>
  <c r="I5" i="29" s="1"/>
  <c r="J54" i="29"/>
  <c r="I55" i="29"/>
  <c r="F43" i="29"/>
  <c r="F44" i="29" s="1"/>
  <c r="G44" i="29" s="1"/>
  <c r="G33" i="29"/>
  <c r="G38" i="29" s="1"/>
  <c r="G42" i="29" s="1"/>
  <c r="G43" i="29" s="1"/>
  <c r="C39" i="25"/>
  <c r="D39" i="25"/>
  <c r="E39" i="25" s="1"/>
  <c r="C11" i="25"/>
  <c r="D11" i="25"/>
  <c r="F9" i="25"/>
  <c r="D43" i="11"/>
  <c r="E33" i="11"/>
  <c r="E38" i="11" s="1"/>
  <c r="E42" i="11" s="1"/>
  <c r="C43" i="11"/>
  <c r="C44" i="11" s="1"/>
  <c r="E14" i="11"/>
  <c r="E18" i="11" s="1"/>
  <c r="E41" i="11" s="1"/>
  <c r="F31" i="11"/>
  <c r="F30" i="11"/>
  <c r="H26" i="11"/>
  <c r="H13" i="11"/>
  <c r="H32" i="11" s="1"/>
  <c r="M57" i="11"/>
  <c r="N57" i="11" s="1"/>
  <c r="O57" i="11" s="1"/>
  <c r="P57" i="11" s="1"/>
  <c r="Q57" i="11" s="1"/>
  <c r="R57" i="11" s="1"/>
  <c r="S57" i="11" s="1"/>
  <c r="T57" i="11" s="1"/>
  <c r="U57" i="11" s="1"/>
  <c r="V57" i="11" s="1"/>
  <c r="F12" i="11"/>
  <c r="F11" i="11"/>
  <c r="H7" i="11"/>
  <c r="I55" i="11"/>
  <c r="J54" i="11"/>
  <c r="G4" i="11"/>
  <c r="G5" i="11" s="1"/>
  <c r="G8" i="11"/>
  <c r="G27" i="11"/>
  <c r="G23" i="11"/>
  <c r="G24" i="11" s="1"/>
  <c r="I50" i="11"/>
  <c r="H6" i="11"/>
  <c r="H25" i="11"/>
  <c r="E11" i="25" l="1"/>
  <c r="F11" i="25" s="1"/>
  <c r="I23" i="30"/>
  <c r="I24" i="30"/>
  <c r="J6" i="30"/>
  <c r="K50" i="30"/>
  <c r="J25" i="30"/>
  <c r="T60" i="30"/>
  <c r="U58" i="30"/>
  <c r="I4" i="30"/>
  <c r="I5" i="30" s="1"/>
  <c r="I7" i="30"/>
  <c r="I8" i="30" s="1"/>
  <c r="I26" i="30"/>
  <c r="I27" i="30" s="1"/>
  <c r="J55" i="30"/>
  <c r="J7" i="30" s="1"/>
  <c r="K54" i="30"/>
  <c r="H12" i="30"/>
  <c r="H11" i="30"/>
  <c r="H31" i="30"/>
  <c r="H30" i="30"/>
  <c r="H33" i="30" s="1"/>
  <c r="H38" i="30" s="1"/>
  <c r="H42" i="30" s="1"/>
  <c r="G43" i="30"/>
  <c r="G44" i="30" s="1"/>
  <c r="I31" i="29"/>
  <c r="I30" i="29"/>
  <c r="I12" i="29"/>
  <c r="I11" i="29"/>
  <c r="U58" i="29"/>
  <c r="T60" i="29"/>
  <c r="J4" i="29"/>
  <c r="J5" i="29" s="1"/>
  <c r="K54" i="29"/>
  <c r="J55" i="29"/>
  <c r="J24" i="29"/>
  <c r="J23" i="29"/>
  <c r="I26" i="29"/>
  <c r="I27" i="29" s="1"/>
  <c r="I7" i="29"/>
  <c r="I8" i="29" s="1"/>
  <c r="K6" i="29"/>
  <c r="K25" i="29"/>
  <c r="M50" i="29"/>
  <c r="H33" i="29"/>
  <c r="H38" i="29" s="1"/>
  <c r="H42" i="29" s="1"/>
  <c r="H14" i="29"/>
  <c r="H18" i="29" s="1"/>
  <c r="H41" i="29" s="1"/>
  <c r="I13" i="29"/>
  <c r="I32" i="29" s="1"/>
  <c r="F33" i="11"/>
  <c r="F38" i="11" s="1"/>
  <c r="F42" i="11" s="1"/>
  <c r="C40" i="25"/>
  <c r="D40" i="25"/>
  <c r="E40" i="25" s="1"/>
  <c r="D12" i="25"/>
  <c r="E12" i="25" s="1"/>
  <c r="C12" i="25"/>
  <c r="D44" i="11"/>
  <c r="E43" i="11"/>
  <c r="I26" i="11"/>
  <c r="I13" i="11"/>
  <c r="I32" i="11" s="1"/>
  <c r="G31" i="11"/>
  <c r="G30" i="11"/>
  <c r="F14" i="11"/>
  <c r="F18" i="11" s="1"/>
  <c r="F41" i="11" s="1"/>
  <c r="F43" i="11" s="1"/>
  <c r="G12" i="11"/>
  <c r="G11" i="11"/>
  <c r="I7" i="11"/>
  <c r="K54" i="11"/>
  <c r="J55" i="11"/>
  <c r="J50" i="11"/>
  <c r="I25" i="11"/>
  <c r="I6" i="11"/>
  <c r="H27" i="11"/>
  <c r="H23" i="11"/>
  <c r="H24" i="11" s="1"/>
  <c r="H8" i="11"/>
  <c r="H4" i="11"/>
  <c r="H5" i="11" s="1"/>
  <c r="H14" i="30" l="1"/>
  <c r="H18" i="30" s="1"/>
  <c r="H41" i="30" s="1"/>
  <c r="H43" i="30" s="1"/>
  <c r="H44" i="30" s="1"/>
  <c r="I31" i="30"/>
  <c r="I30" i="30"/>
  <c r="I33" i="30" s="1"/>
  <c r="I38" i="30" s="1"/>
  <c r="I42" i="30" s="1"/>
  <c r="I12" i="30"/>
  <c r="I11" i="30"/>
  <c r="K55" i="30"/>
  <c r="K13" i="30" s="1"/>
  <c r="K32" i="30" s="1"/>
  <c r="M54" i="30"/>
  <c r="J23" i="30"/>
  <c r="J24" i="30" s="1"/>
  <c r="I14" i="30"/>
  <c r="I18" i="30" s="1"/>
  <c r="I41" i="30" s="1"/>
  <c r="J26" i="30"/>
  <c r="J27" i="30" s="1"/>
  <c r="J13" i="30"/>
  <c r="J32" i="30" s="1"/>
  <c r="J8" i="30"/>
  <c r="J5" i="30"/>
  <c r="J4" i="30"/>
  <c r="U60" i="30"/>
  <c r="V58" i="30"/>
  <c r="V60" i="30" s="1"/>
  <c r="K26" i="30"/>
  <c r="K25" i="30"/>
  <c r="M50" i="30"/>
  <c r="K6" i="30"/>
  <c r="M25" i="29"/>
  <c r="M6" i="29"/>
  <c r="N50" i="29"/>
  <c r="J12" i="29"/>
  <c r="J31" i="29"/>
  <c r="J30" i="29"/>
  <c r="J11" i="29"/>
  <c r="U60" i="29"/>
  <c r="V58" i="29"/>
  <c r="V60" i="29" s="1"/>
  <c r="K55" i="29"/>
  <c r="M54" i="29"/>
  <c r="K4" i="29"/>
  <c r="K5" i="29" s="1"/>
  <c r="J7" i="29"/>
  <c r="J8" i="29" s="1"/>
  <c r="J13" i="29"/>
  <c r="J32" i="29" s="1"/>
  <c r="J26" i="29"/>
  <c r="J27" i="29" s="1"/>
  <c r="K23" i="29"/>
  <c r="K24" i="29" s="1"/>
  <c r="I33" i="29"/>
  <c r="I38" i="29" s="1"/>
  <c r="I42" i="29" s="1"/>
  <c r="H43" i="29"/>
  <c r="H44" i="29" s="1"/>
  <c r="I14" i="29"/>
  <c r="I18" i="29" s="1"/>
  <c r="I41" i="29" s="1"/>
  <c r="G14" i="11"/>
  <c r="G18" i="11" s="1"/>
  <c r="G41" i="11" s="1"/>
  <c r="D41" i="25"/>
  <c r="E41" i="25" s="1"/>
  <c r="C41" i="25"/>
  <c r="D13" i="25"/>
  <c r="C13" i="25"/>
  <c r="F12" i="25"/>
  <c r="E44" i="11"/>
  <c r="F44" i="11" s="1"/>
  <c r="G33" i="11"/>
  <c r="G38" i="11" s="1"/>
  <c r="G42" i="11" s="1"/>
  <c r="J26" i="11"/>
  <c r="J13" i="11"/>
  <c r="J32" i="11" s="1"/>
  <c r="H30" i="11"/>
  <c r="H31" i="11"/>
  <c r="H11" i="11"/>
  <c r="H12" i="11"/>
  <c r="J7" i="11"/>
  <c r="M54" i="11"/>
  <c r="K55" i="11"/>
  <c r="I27" i="11"/>
  <c r="I23" i="11"/>
  <c r="I24" i="11" s="1"/>
  <c r="J6" i="11"/>
  <c r="K50" i="11"/>
  <c r="J25" i="11"/>
  <c r="I8" i="11"/>
  <c r="I4" i="11"/>
  <c r="I5" i="11" s="1"/>
  <c r="K7" i="30" l="1"/>
  <c r="E13" i="25"/>
  <c r="F13" i="25" s="1"/>
  <c r="N50" i="30"/>
  <c r="M25" i="30"/>
  <c r="M6" i="30"/>
  <c r="J12" i="30"/>
  <c r="J11" i="30"/>
  <c r="J31" i="30"/>
  <c r="J30" i="30"/>
  <c r="N54" i="30"/>
  <c r="M55" i="30"/>
  <c r="M26" i="30" s="1"/>
  <c r="K8" i="30"/>
  <c r="K4" i="30"/>
  <c r="K5" i="30" s="1"/>
  <c r="K27" i="30"/>
  <c r="K24" i="30"/>
  <c r="K23" i="30"/>
  <c r="I43" i="30"/>
  <c r="I44" i="30" s="1"/>
  <c r="K7" i="29"/>
  <c r="K8" i="29" s="1"/>
  <c r="K26" i="29"/>
  <c r="K27" i="29" s="1"/>
  <c r="K13" i="29"/>
  <c r="K32" i="29" s="1"/>
  <c r="M4" i="29"/>
  <c r="M5" i="29" s="1"/>
  <c r="M55" i="29"/>
  <c r="N54" i="29"/>
  <c r="O50" i="29"/>
  <c r="N25" i="29"/>
  <c r="N6" i="29"/>
  <c r="M23" i="29"/>
  <c r="M24" i="29" s="1"/>
  <c r="J33" i="29"/>
  <c r="J38" i="29" s="1"/>
  <c r="J42" i="29" s="1"/>
  <c r="I43" i="29"/>
  <c r="I44" i="29" s="1"/>
  <c r="J14" i="29"/>
  <c r="J18" i="29" s="1"/>
  <c r="J41" i="29" s="1"/>
  <c r="K12" i="29"/>
  <c r="K11" i="29"/>
  <c r="K30" i="29"/>
  <c r="K31" i="29"/>
  <c r="G43" i="11"/>
  <c r="G44" i="11" s="1"/>
  <c r="H14" i="11"/>
  <c r="H18" i="11" s="1"/>
  <c r="H41" i="11" s="1"/>
  <c r="H33" i="11"/>
  <c r="H38" i="11" s="1"/>
  <c r="H42" i="11" s="1"/>
  <c r="C42" i="25"/>
  <c r="D42" i="25"/>
  <c r="E42" i="25" s="1"/>
  <c r="D14" i="25"/>
  <c r="E14" i="25" s="1"/>
  <c r="C14" i="25"/>
  <c r="I31" i="11"/>
  <c r="I30" i="11"/>
  <c r="K26" i="11"/>
  <c r="K13" i="11"/>
  <c r="K32" i="11" s="1"/>
  <c r="K7" i="11"/>
  <c r="I12" i="11"/>
  <c r="I11" i="11"/>
  <c r="N54" i="11"/>
  <c r="M55" i="11"/>
  <c r="K6" i="11"/>
  <c r="K25" i="11"/>
  <c r="M50" i="11"/>
  <c r="J8" i="11"/>
  <c r="J4" i="11"/>
  <c r="J5" i="11" s="1"/>
  <c r="J27" i="11"/>
  <c r="J23" i="11"/>
  <c r="J24" i="11" s="1"/>
  <c r="M7" i="30" l="1"/>
  <c r="M13" i="30"/>
  <c r="M32" i="30" s="1"/>
  <c r="J33" i="30"/>
  <c r="J38" i="30" s="1"/>
  <c r="J42" i="30" s="1"/>
  <c r="J14" i="30"/>
  <c r="J18" i="30" s="1"/>
  <c r="J41" i="30" s="1"/>
  <c r="J43" i="30" s="1"/>
  <c r="J44" i="30" s="1"/>
  <c r="K31" i="30"/>
  <c r="K30" i="30"/>
  <c r="K12" i="30"/>
  <c r="K11" i="30"/>
  <c r="K14" i="30" s="1"/>
  <c r="K18" i="30" s="1"/>
  <c r="K41" i="30" s="1"/>
  <c r="M27" i="30"/>
  <c r="M23" i="30"/>
  <c r="M24" i="30" s="1"/>
  <c r="O50" i="30"/>
  <c r="N25" i="30"/>
  <c r="N13" i="30"/>
  <c r="N32" i="30" s="1"/>
  <c r="N6" i="30"/>
  <c r="O54" i="30"/>
  <c r="N55" i="30"/>
  <c r="N7" i="30" s="1"/>
  <c r="M4" i="30"/>
  <c r="M5" i="30" s="1"/>
  <c r="M8" i="30"/>
  <c r="K33" i="29"/>
  <c r="K38" i="29" s="1"/>
  <c r="K42" i="29" s="1"/>
  <c r="M31" i="29"/>
  <c r="M30" i="29"/>
  <c r="M12" i="29"/>
  <c r="M11" i="29"/>
  <c r="N4" i="29"/>
  <c r="N5" i="29" s="1"/>
  <c r="N23" i="29"/>
  <c r="N24" i="29" s="1"/>
  <c r="M7" i="29"/>
  <c r="M8" i="29" s="1"/>
  <c r="M26" i="29"/>
  <c r="M27" i="29" s="1"/>
  <c r="M33" i="29" s="1"/>
  <c r="M38" i="29" s="1"/>
  <c r="M42" i="29" s="1"/>
  <c r="M13" i="29"/>
  <c r="M32" i="29" s="1"/>
  <c r="O54" i="29"/>
  <c r="N55" i="29"/>
  <c r="P50" i="29"/>
  <c r="O6" i="29"/>
  <c r="O25" i="29"/>
  <c r="J43" i="29"/>
  <c r="J44" i="29" s="1"/>
  <c r="K14" i="29"/>
  <c r="K18" i="29" s="1"/>
  <c r="K41" i="29" s="1"/>
  <c r="K43" i="29" s="1"/>
  <c r="H43" i="11"/>
  <c r="H44" i="11" s="1"/>
  <c r="C43" i="25"/>
  <c r="D43" i="25"/>
  <c r="E43" i="25" s="1"/>
  <c r="F14" i="25"/>
  <c r="C15" i="25"/>
  <c r="D15" i="25"/>
  <c r="I33" i="11"/>
  <c r="I38" i="11" s="1"/>
  <c r="I42" i="11" s="1"/>
  <c r="M26" i="11"/>
  <c r="J31" i="11"/>
  <c r="J30" i="11"/>
  <c r="I14" i="11"/>
  <c r="I18" i="11" s="1"/>
  <c r="I41" i="11" s="1"/>
  <c r="J12" i="11"/>
  <c r="J11" i="11"/>
  <c r="M7" i="11"/>
  <c r="O54" i="11"/>
  <c r="N55" i="11"/>
  <c r="N50" i="11"/>
  <c r="M25" i="11"/>
  <c r="M6" i="11"/>
  <c r="K27" i="11"/>
  <c r="K23" i="11"/>
  <c r="K24" i="11" s="1"/>
  <c r="K4" i="11"/>
  <c r="K5" i="11" s="1"/>
  <c r="K8" i="11"/>
  <c r="J33" i="11" l="1"/>
  <c r="J38" i="11" s="1"/>
  <c r="J42" i="11" s="1"/>
  <c r="E15" i="25"/>
  <c r="F15" i="25" s="1"/>
  <c r="K33" i="30"/>
  <c r="K38" i="30" s="1"/>
  <c r="K42" i="30" s="1"/>
  <c r="K43" i="30" s="1"/>
  <c r="K44" i="30" s="1"/>
  <c r="M31" i="30"/>
  <c r="M30" i="30"/>
  <c r="M12" i="30"/>
  <c r="M11" i="30"/>
  <c r="N8" i="30"/>
  <c r="N4" i="30"/>
  <c r="N5" i="30" s="1"/>
  <c r="O6" i="30"/>
  <c r="P50" i="30"/>
  <c r="O25" i="30"/>
  <c r="N27" i="30"/>
  <c r="N24" i="30"/>
  <c r="N23" i="30"/>
  <c r="N26" i="30"/>
  <c r="O55" i="30"/>
  <c r="O7" i="30" s="1"/>
  <c r="P54" i="30"/>
  <c r="K44" i="29"/>
  <c r="M14" i="29"/>
  <c r="M18" i="29" s="1"/>
  <c r="M41" i="29" s="1"/>
  <c r="M43" i="29" s="1"/>
  <c r="N31" i="29"/>
  <c r="N30" i="29"/>
  <c r="N12" i="29"/>
  <c r="N11" i="29"/>
  <c r="N7" i="29"/>
  <c r="N8" i="29" s="1"/>
  <c r="N13" i="29"/>
  <c r="N32" i="29" s="1"/>
  <c r="N26" i="29"/>
  <c r="N27" i="29" s="1"/>
  <c r="O23" i="29"/>
  <c r="O24" i="29" s="1"/>
  <c r="P6" i="29"/>
  <c r="P25" i="29"/>
  <c r="Q50" i="29"/>
  <c r="O55" i="29"/>
  <c r="P54" i="29"/>
  <c r="O5" i="29"/>
  <c r="O4" i="29"/>
  <c r="J14" i="11"/>
  <c r="J18" i="11" s="1"/>
  <c r="J41" i="11" s="1"/>
  <c r="I43" i="11"/>
  <c r="I44" i="11" s="1"/>
  <c r="C44" i="25"/>
  <c r="D44" i="25"/>
  <c r="E44" i="25" s="1"/>
  <c r="D16" i="25"/>
  <c r="C16" i="25"/>
  <c r="J43" i="11"/>
  <c r="N26" i="11"/>
  <c r="N13" i="11"/>
  <c r="N32" i="11" s="1"/>
  <c r="K30" i="11"/>
  <c r="K33" i="11" s="1"/>
  <c r="K38" i="11" s="1"/>
  <c r="K42" i="11" s="1"/>
  <c r="K31" i="11"/>
  <c r="K12" i="11"/>
  <c r="K11" i="11"/>
  <c r="N7" i="11"/>
  <c r="P54" i="11"/>
  <c r="O55" i="11"/>
  <c r="M27" i="11"/>
  <c r="M23" i="11"/>
  <c r="M24" i="11" s="1"/>
  <c r="N25" i="11"/>
  <c r="N6" i="11"/>
  <c r="O50" i="11"/>
  <c r="M8" i="11"/>
  <c r="M4" i="11"/>
  <c r="M5" i="11" s="1"/>
  <c r="E16" i="25" l="1"/>
  <c r="F16" i="25" s="1"/>
  <c r="M14" i="30"/>
  <c r="M18" i="30" s="1"/>
  <c r="M41" i="30" s="1"/>
  <c r="M33" i="30"/>
  <c r="M38" i="30" s="1"/>
  <c r="M42" i="30" s="1"/>
  <c r="O8" i="30"/>
  <c r="O4" i="30"/>
  <c r="O5" i="30" s="1"/>
  <c r="N31" i="30"/>
  <c r="N12" i="30"/>
  <c r="N14" i="30" s="1"/>
  <c r="N18" i="30" s="1"/>
  <c r="N41" i="30" s="1"/>
  <c r="N11" i="30"/>
  <c r="N30" i="30"/>
  <c r="P55" i="30"/>
  <c r="P7" i="30" s="1"/>
  <c r="Q54" i="30"/>
  <c r="O23" i="30"/>
  <c r="O24" i="30" s="1"/>
  <c r="O26" i="30"/>
  <c r="O27" i="30" s="1"/>
  <c r="O13" i="30"/>
  <c r="O32" i="30" s="1"/>
  <c r="P25" i="30"/>
  <c r="P6" i="30"/>
  <c r="Q50" i="30"/>
  <c r="M44" i="29"/>
  <c r="P55" i="29"/>
  <c r="Q54" i="29"/>
  <c r="P23" i="29"/>
  <c r="P24" i="29" s="1"/>
  <c r="O12" i="29"/>
  <c r="O11" i="29"/>
  <c r="O31" i="29"/>
  <c r="O30" i="29"/>
  <c r="Q25" i="29"/>
  <c r="Q6" i="29"/>
  <c r="R50" i="29"/>
  <c r="O13" i="29"/>
  <c r="O32" i="29" s="1"/>
  <c r="O7" i="29"/>
  <c r="O8" i="29" s="1"/>
  <c r="O26" i="29"/>
  <c r="O27" i="29" s="1"/>
  <c r="P4" i="29"/>
  <c r="P5" i="29" s="1"/>
  <c r="N33" i="29"/>
  <c r="N38" i="29" s="1"/>
  <c r="N42" i="29" s="1"/>
  <c r="N14" i="29"/>
  <c r="N18" i="29" s="1"/>
  <c r="N41" i="29" s="1"/>
  <c r="D45" i="25"/>
  <c r="E45" i="25" s="1"/>
  <c r="C45" i="25"/>
  <c r="C17" i="25"/>
  <c r="D17" i="25"/>
  <c r="J44" i="11"/>
  <c r="O13" i="11"/>
  <c r="O32" i="11" s="1"/>
  <c r="O26" i="11"/>
  <c r="K14" i="11"/>
  <c r="K18" i="11" s="1"/>
  <c r="K41" i="11" s="1"/>
  <c r="K43" i="11" s="1"/>
  <c r="O7" i="11"/>
  <c r="P55" i="11"/>
  <c r="Q54" i="11"/>
  <c r="N27" i="11"/>
  <c r="N23" i="11"/>
  <c r="N24" i="11" s="1"/>
  <c r="P50" i="11"/>
  <c r="O25" i="11"/>
  <c r="O6" i="11"/>
  <c r="N4" i="11"/>
  <c r="N5" i="11" s="1"/>
  <c r="N8" i="11"/>
  <c r="M43" i="30" l="1"/>
  <c r="M44" i="30" s="1"/>
  <c r="E17" i="25"/>
  <c r="F17" i="25" s="1"/>
  <c r="N33" i="30"/>
  <c r="N38" i="30" s="1"/>
  <c r="N42" i="30" s="1"/>
  <c r="N43" i="30" s="1"/>
  <c r="N44" i="30" s="1"/>
  <c r="O12" i="30"/>
  <c r="O11" i="30"/>
  <c r="O31" i="30"/>
  <c r="O30" i="30"/>
  <c r="P13" i="30"/>
  <c r="P32" i="30" s="1"/>
  <c r="P8" i="30"/>
  <c r="P4" i="30"/>
  <c r="P5" i="30" s="1"/>
  <c r="R50" i="30"/>
  <c r="Q25" i="30"/>
  <c r="Q6" i="30"/>
  <c r="R54" i="30"/>
  <c r="Q55" i="30"/>
  <c r="Q13" i="30" s="1"/>
  <c r="Q32" i="30" s="1"/>
  <c r="P27" i="30"/>
  <c r="P24" i="30"/>
  <c r="P23" i="30"/>
  <c r="P26" i="30"/>
  <c r="O14" i="29"/>
  <c r="O18" i="29" s="1"/>
  <c r="O41" i="29" s="1"/>
  <c r="O33" i="29"/>
  <c r="O38" i="29" s="1"/>
  <c r="O42" i="29" s="1"/>
  <c r="P12" i="29"/>
  <c r="P11" i="29"/>
  <c r="P31" i="29"/>
  <c r="P30" i="29"/>
  <c r="P7" i="29"/>
  <c r="P8" i="29" s="1"/>
  <c r="P13" i="29"/>
  <c r="P32" i="29" s="1"/>
  <c r="P26" i="29"/>
  <c r="P27" i="29" s="1"/>
  <c r="Q5" i="29"/>
  <c r="Q4" i="29"/>
  <c r="R54" i="29"/>
  <c r="Q55" i="29"/>
  <c r="S50" i="29"/>
  <c r="R25" i="29"/>
  <c r="R6" i="29"/>
  <c r="Q24" i="29"/>
  <c r="Q23" i="29"/>
  <c r="N43" i="29"/>
  <c r="N44" i="29" s="1"/>
  <c r="C46" i="25"/>
  <c r="D46" i="25"/>
  <c r="E46" i="25" s="1"/>
  <c r="C18" i="25"/>
  <c r="D18" i="25"/>
  <c r="K44" i="11"/>
  <c r="P26" i="11"/>
  <c r="P13" i="11"/>
  <c r="P32" i="11" s="1"/>
  <c r="N31" i="11"/>
  <c r="N30" i="11"/>
  <c r="N12" i="11"/>
  <c r="N11" i="11"/>
  <c r="P7" i="11"/>
  <c r="R54" i="11"/>
  <c r="Q55" i="11"/>
  <c r="O27" i="11"/>
  <c r="O23" i="11"/>
  <c r="O24" i="11" s="1"/>
  <c r="O4" i="11"/>
  <c r="O5" i="11" s="1"/>
  <c r="O8" i="11"/>
  <c r="P25" i="11"/>
  <c r="P6" i="11"/>
  <c r="Q50" i="11"/>
  <c r="E18" i="25" l="1"/>
  <c r="F18" i="25" s="1"/>
  <c r="P14" i="29"/>
  <c r="P18" i="29" s="1"/>
  <c r="P41" i="29" s="1"/>
  <c r="Q26" i="30"/>
  <c r="Q7" i="30"/>
  <c r="O33" i="30"/>
  <c r="O38" i="30" s="1"/>
  <c r="O42" i="30" s="1"/>
  <c r="O14" i="30"/>
  <c r="O18" i="30" s="1"/>
  <c r="O41" i="30" s="1"/>
  <c r="Q27" i="30"/>
  <c r="Q23" i="30"/>
  <c r="Q24" i="30" s="1"/>
  <c r="P31" i="30"/>
  <c r="P33" i="30" s="1"/>
  <c r="P38" i="30" s="1"/>
  <c r="P42" i="30" s="1"/>
  <c r="P30" i="30"/>
  <c r="P12" i="30"/>
  <c r="P11" i="30"/>
  <c r="S54" i="30"/>
  <c r="R55" i="30"/>
  <c r="R26" i="30" s="1"/>
  <c r="Q8" i="30"/>
  <c r="Q4" i="30"/>
  <c r="Q5" i="30" s="1"/>
  <c r="R25" i="30"/>
  <c r="S50" i="30"/>
  <c r="R13" i="30"/>
  <c r="R32" i="30" s="1"/>
  <c r="R7" i="30"/>
  <c r="R6" i="30"/>
  <c r="O43" i="30"/>
  <c r="O44" i="30" s="1"/>
  <c r="P33" i="29"/>
  <c r="P38" i="29" s="1"/>
  <c r="P42" i="29" s="1"/>
  <c r="P43" i="29" s="1"/>
  <c r="O43" i="29"/>
  <c r="O44" i="29" s="1"/>
  <c r="R23" i="29"/>
  <c r="R24" i="29" s="1"/>
  <c r="S54" i="29"/>
  <c r="R55" i="29"/>
  <c r="Q13" i="29"/>
  <c r="Q32" i="29" s="1"/>
  <c r="Q26" i="29"/>
  <c r="Q27" i="29" s="1"/>
  <c r="Q7" i="29"/>
  <c r="Q8" i="29" s="1"/>
  <c r="T50" i="29"/>
  <c r="S25" i="29"/>
  <c r="S6" i="29"/>
  <c r="Q31" i="29"/>
  <c r="Q30" i="29"/>
  <c r="Q12" i="29"/>
  <c r="Q11" i="29"/>
  <c r="R5" i="29"/>
  <c r="R4" i="29"/>
  <c r="C47" i="25"/>
  <c r="D47" i="25"/>
  <c r="E47" i="25" s="1"/>
  <c r="C19" i="25"/>
  <c r="D19" i="25"/>
  <c r="N33" i="11"/>
  <c r="N38" i="11" s="1"/>
  <c r="N42" i="11" s="1"/>
  <c r="Q26" i="11"/>
  <c r="Q13" i="11"/>
  <c r="Q32" i="11" s="1"/>
  <c r="O31" i="11"/>
  <c r="O30" i="11"/>
  <c r="N14" i="11"/>
  <c r="N18" i="11" s="1"/>
  <c r="N41" i="11" s="1"/>
  <c r="Q7" i="11"/>
  <c r="O11" i="11"/>
  <c r="O12" i="11"/>
  <c r="R55" i="11"/>
  <c r="S54" i="11"/>
  <c r="P8" i="11"/>
  <c r="P4" i="11"/>
  <c r="P5" i="11" s="1"/>
  <c r="P27" i="11"/>
  <c r="P23" i="11"/>
  <c r="P24" i="11" s="1"/>
  <c r="Q6" i="11"/>
  <c r="R50" i="11"/>
  <c r="Q25" i="11"/>
  <c r="P44" i="29" l="1"/>
  <c r="E19" i="25"/>
  <c r="F19" i="25" s="1"/>
  <c r="P14" i="30"/>
  <c r="P18" i="30" s="1"/>
  <c r="P41" i="30" s="1"/>
  <c r="P43" i="30" s="1"/>
  <c r="P44" i="30" s="1"/>
  <c r="Q11" i="30"/>
  <c r="Q31" i="30"/>
  <c r="Q30" i="30"/>
  <c r="Q12" i="30"/>
  <c r="S55" i="30"/>
  <c r="S13" i="30" s="1"/>
  <c r="S32" i="30" s="1"/>
  <c r="T54" i="30"/>
  <c r="R27" i="30"/>
  <c r="R23" i="30"/>
  <c r="R24" i="30" s="1"/>
  <c r="R8" i="30"/>
  <c r="R4" i="30"/>
  <c r="R5" i="30" s="1"/>
  <c r="S7" i="30"/>
  <c r="S6" i="30"/>
  <c r="S26" i="30"/>
  <c r="S25" i="30"/>
  <c r="T50" i="30"/>
  <c r="Q14" i="29"/>
  <c r="Q18" i="29" s="1"/>
  <c r="Q41" i="29" s="1"/>
  <c r="R31" i="29"/>
  <c r="R30" i="29"/>
  <c r="R12" i="29"/>
  <c r="R11" i="29"/>
  <c r="T54" i="29"/>
  <c r="S55" i="29"/>
  <c r="S24" i="29"/>
  <c r="S23" i="29"/>
  <c r="R26" i="29"/>
  <c r="R27" i="29" s="1"/>
  <c r="R7" i="29"/>
  <c r="R8" i="29" s="1"/>
  <c r="R13" i="29"/>
  <c r="R32" i="29" s="1"/>
  <c r="S4" i="29"/>
  <c r="S5" i="29" s="1"/>
  <c r="T6" i="29"/>
  <c r="U50" i="29"/>
  <c r="T25" i="29"/>
  <c r="Q33" i="29"/>
  <c r="Q38" i="29" s="1"/>
  <c r="Q42" i="29" s="1"/>
  <c r="Q43" i="29" s="1"/>
  <c r="Q44" i="29" s="1"/>
  <c r="O33" i="11"/>
  <c r="O38" i="11" s="1"/>
  <c r="O42" i="11" s="1"/>
  <c r="N43" i="11"/>
  <c r="C48" i="25"/>
  <c r="D48" i="25"/>
  <c r="E48" i="25" s="1"/>
  <c r="D20" i="25"/>
  <c r="C20" i="25"/>
  <c r="O14" i="11"/>
  <c r="O18" i="11" s="1"/>
  <c r="O41" i="11" s="1"/>
  <c r="R26" i="11"/>
  <c r="R13" i="11"/>
  <c r="R32" i="11" s="1"/>
  <c r="P30" i="11"/>
  <c r="P31" i="11"/>
  <c r="R7" i="11"/>
  <c r="P11" i="11"/>
  <c r="P12" i="11"/>
  <c r="S55" i="11"/>
  <c r="T54" i="11"/>
  <c r="S50" i="11"/>
  <c r="R6" i="11"/>
  <c r="R25" i="11"/>
  <c r="Q4" i="11"/>
  <c r="Q5" i="11" s="1"/>
  <c r="Q8" i="11"/>
  <c r="Q27" i="11"/>
  <c r="Q23" i="11"/>
  <c r="Q24" i="11" s="1"/>
  <c r="E20" i="25" l="1"/>
  <c r="F20" i="25" s="1"/>
  <c r="R14" i="29"/>
  <c r="R18" i="29" s="1"/>
  <c r="R41" i="29" s="1"/>
  <c r="Q33" i="30"/>
  <c r="Q38" i="30" s="1"/>
  <c r="Q42" i="30" s="1"/>
  <c r="Q14" i="30"/>
  <c r="Q18" i="30" s="1"/>
  <c r="Q41" i="30" s="1"/>
  <c r="S8" i="30"/>
  <c r="S4" i="30"/>
  <c r="S5" i="30" s="1"/>
  <c r="R30" i="30"/>
  <c r="R12" i="30"/>
  <c r="R14" i="30" s="1"/>
  <c r="R18" i="30" s="1"/>
  <c r="R41" i="30" s="1"/>
  <c r="R11" i="30"/>
  <c r="R31" i="30"/>
  <c r="R33" i="30" s="1"/>
  <c r="R38" i="30" s="1"/>
  <c r="R42" i="30" s="1"/>
  <c r="T55" i="30"/>
  <c r="T26" i="30" s="1"/>
  <c r="U54" i="30"/>
  <c r="T25" i="30"/>
  <c r="U50" i="30"/>
  <c r="T6" i="30"/>
  <c r="S27" i="30"/>
  <c r="S23" i="30"/>
  <c r="S24" i="30" s="1"/>
  <c r="S31" i="29"/>
  <c r="S30" i="29"/>
  <c r="S12" i="29"/>
  <c r="S11" i="29"/>
  <c r="U25" i="29"/>
  <c r="V50" i="29"/>
  <c r="U6" i="29"/>
  <c r="T24" i="29"/>
  <c r="T23" i="29"/>
  <c r="T55" i="29"/>
  <c r="U54" i="29"/>
  <c r="T4" i="29"/>
  <c r="T5" i="29" s="1"/>
  <c r="S13" i="29"/>
  <c r="S32" i="29" s="1"/>
  <c r="S26" i="29"/>
  <c r="S27" i="29" s="1"/>
  <c r="S7" i="29"/>
  <c r="S8" i="29" s="1"/>
  <c r="R43" i="29"/>
  <c r="R44" i="29" s="1"/>
  <c r="R33" i="29"/>
  <c r="R38" i="29" s="1"/>
  <c r="R42" i="29" s="1"/>
  <c r="P33" i="11"/>
  <c r="P38" i="11" s="1"/>
  <c r="P42" i="11" s="1"/>
  <c r="O43" i="11"/>
  <c r="D49" i="25"/>
  <c r="E49" i="25" s="1"/>
  <c r="C49" i="25"/>
  <c r="D21" i="25"/>
  <c r="C21" i="25"/>
  <c r="S26" i="11"/>
  <c r="S13" i="11"/>
  <c r="S32" i="11" s="1"/>
  <c r="Q30" i="11"/>
  <c r="Q31" i="11"/>
  <c r="P14" i="11"/>
  <c r="P18" i="11" s="1"/>
  <c r="P41" i="11" s="1"/>
  <c r="Q12" i="11"/>
  <c r="Q11" i="11"/>
  <c r="S7" i="11"/>
  <c r="T55" i="11"/>
  <c r="U54" i="11"/>
  <c r="S25" i="11"/>
  <c r="S6" i="11"/>
  <c r="T50" i="11"/>
  <c r="R8" i="11"/>
  <c r="R4" i="11"/>
  <c r="R5" i="11" s="1"/>
  <c r="R27" i="11"/>
  <c r="R23" i="11"/>
  <c r="R24" i="11" s="1"/>
  <c r="E21" i="25" l="1"/>
  <c r="F21" i="25" s="1"/>
  <c r="Q43" i="30"/>
  <c r="Q44" i="30" s="1"/>
  <c r="R43" i="30"/>
  <c r="R44" i="30" s="1"/>
  <c r="V54" i="30"/>
  <c r="V55" i="30" s="1"/>
  <c r="U55" i="30"/>
  <c r="T13" i="30"/>
  <c r="T32" i="30" s="1"/>
  <c r="T27" i="30"/>
  <c r="T23" i="30"/>
  <c r="T24" i="30" s="1"/>
  <c r="S12" i="30"/>
  <c r="S11" i="30"/>
  <c r="S31" i="30"/>
  <c r="S30" i="30"/>
  <c r="T7" i="30"/>
  <c r="T8" i="30" s="1"/>
  <c r="T4" i="30"/>
  <c r="T5" i="30" s="1"/>
  <c r="V50" i="30"/>
  <c r="U13" i="30"/>
  <c r="U32" i="30" s="1"/>
  <c r="U6" i="30"/>
  <c r="U26" i="30"/>
  <c r="U25" i="30"/>
  <c r="U7" i="30"/>
  <c r="T12" i="29"/>
  <c r="T11" i="29"/>
  <c r="T31" i="29"/>
  <c r="T30" i="29"/>
  <c r="T7" i="29"/>
  <c r="T8" i="29" s="1"/>
  <c r="T13" i="29"/>
  <c r="T32" i="29" s="1"/>
  <c r="T26" i="29"/>
  <c r="T27" i="29" s="1"/>
  <c r="U4" i="29"/>
  <c r="U5" i="29" s="1"/>
  <c r="U23" i="29"/>
  <c r="U24" i="29" s="1"/>
  <c r="U55" i="29"/>
  <c r="V54" i="29"/>
  <c r="V55" i="29" s="1"/>
  <c r="V26" i="29" s="1"/>
  <c r="V25" i="29"/>
  <c r="V13" i="29"/>
  <c r="V32" i="29" s="1"/>
  <c r="V6" i="29"/>
  <c r="S33" i="29"/>
  <c r="S38" i="29" s="1"/>
  <c r="S42" i="29" s="1"/>
  <c r="S14" i="29"/>
  <c r="S18" i="29" s="1"/>
  <c r="S41" i="29" s="1"/>
  <c r="P43" i="11"/>
  <c r="C50" i="25"/>
  <c r="B52" i="25" s="1"/>
  <c r="D50" i="25"/>
  <c r="E50" i="25" s="1"/>
  <c r="D22" i="25"/>
  <c r="C22" i="25"/>
  <c r="Q33" i="11"/>
  <c r="Q38" i="11" s="1"/>
  <c r="Q42" i="11" s="1"/>
  <c r="Q14" i="11"/>
  <c r="Q18" i="11" s="1"/>
  <c r="Q41" i="11" s="1"/>
  <c r="R30" i="11"/>
  <c r="R31" i="11"/>
  <c r="T26" i="11"/>
  <c r="T13" i="11"/>
  <c r="T32" i="11" s="1"/>
  <c r="R12" i="11"/>
  <c r="R11" i="11"/>
  <c r="T7" i="11"/>
  <c r="U55" i="11"/>
  <c r="V54" i="11"/>
  <c r="V55" i="11" s="1"/>
  <c r="S27" i="11"/>
  <c r="S23" i="11"/>
  <c r="S24" i="11" s="1"/>
  <c r="S8" i="11"/>
  <c r="S4" i="11"/>
  <c r="S5" i="11" s="1"/>
  <c r="T25" i="11"/>
  <c r="U50" i="11"/>
  <c r="T6" i="11"/>
  <c r="V7" i="29" l="1"/>
  <c r="E22" i="25"/>
  <c r="F22" i="25" s="1"/>
  <c r="S14" i="30"/>
  <c r="S18" i="30" s="1"/>
  <c r="S41" i="30" s="1"/>
  <c r="S43" i="30" s="1"/>
  <c r="S44" i="30" s="1"/>
  <c r="S33" i="30"/>
  <c r="S38" i="30" s="1"/>
  <c r="S42" i="30" s="1"/>
  <c r="T31" i="30"/>
  <c r="T30" i="30"/>
  <c r="T12" i="30"/>
  <c r="T11" i="30"/>
  <c r="T14" i="30"/>
  <c r="T18" i="30" s="1"/>
  <c r="T41" i="30" s="1"/>
  <c r="U27" i="30"/>
  <c r="U23" i="30"/>
  <c r="U24" i="30" s="1"/>
  <c r="V26" i="30"/>
  <c r="V13" i="30"/>
  <c r="V32" i="30" s="1"/>
  <c r="V7" i="30"/>
  <c r="V6" i="30"/>
  <c r="V25" i="30"/>
  <c r="U4" i="30"/>
  <c r="U5" i="30" s="1"/>
  <c r="U8" i="30"/>
  <c r="S43" i="29"/>
  <c r="S44" i="29" s="1"/>
  <c r="U31" i="29"/>
  <c r="U30" i="29"/>
  <c r="U12" i="29"/>
  <c r="U11" i="29"/>
  <c r="U26" i="29"/>
  <c r="U27" i="29" s="1"/>
  <c r="U7" i="29"/>
  <c r="U8" i="29" s="1"/>
  <c r="U14" i="29" s="1"/>
  <c r="U18" i="29" s="1"/>
  <c r="U41" i="29" s="1"/>
  <c r="U13" i="29"/>
  <c r="U32" i="29" s="1"/>
  <c r="V8" i="29"/>
  <c r="V4" i="29"/>
  <c r="V5" i="29" s="1"/>
  <c r="V27" i="29"/>
  <c r="V24" i="29"/>
  <c r="V23" i="29"/>
  <c r="T33" i="29"/>
  <c r="T38" i="29" s="1"/>
  <c r="T42" i="29" s="1"/>
  <c r="T14" i="29"/>
  <c r="T18" i="29" s="1"/>
  <c r="T41" i="29" s="1"/>
  <c r="R33" i="11"/>
  <c r="R38" i="11" s="1"/>
  <c r="R42" i="11" s="1"/>
  <c r="D51" i="25"/>
  <c r="E51" i="25" s="1"/>
  <c r="C51" i="25"/>
  <c r="C23" i="25"/>
  <c r="D23" i="25"/>
  <c r="E23" i="25" s="1"/>
  <c r="Q43" i="11"/>
  <c r="U26" i="11"/>
  <c r="U13" i="11"/>
  <c r="U32" i="11" s="1"/>
  <c r="S30" i="11"/>
  <c r="S31" i="11"/>
  <c r="R14" i="11"/>
  <c r="R18" i="11" s="1"/>
  <c r="R41" i="11" s="1"/>
  <c r="U7" i="11"/>
  <c r="S11" i="11"/>
  <c r="S12" i="11"/>
  <c r="U25" i="11"/>
  <c r="U6" i="11"/>
  <c r="V50" i="11"/>
  <c r="T8" i="11"/>
  <c r="T4" i="11"/>
  <c r="T5" i="11" s="1"/>
  <c r="T27" i="11"/>
  <c r="T23" i="11"/>
  <c r="T24" i="11" s="1"/>
  <c r="T33" i="30" l="1"/>
  <c r="T38" i="30" s="1"/>
  <c r="T42" i="30" s="1"/>
  <c r="T43" i="30" s="1"/>
  <c r="T44" i="30" s="1"/>
  <c r="V8" i="30"/>
  <c r="V4" i="30"/>
  <c r="V5" i="30" s="1"/>
  <c r="V23" i="30"/>
  <c r="V24" i="30" s="1"/>
  <c r="V27" i="30"/>
  <c r="U12" i="30"/>
  <c r="U31" i="30"/>
  <c r="U30" i="30"/>
  <c r="U33" i="30" s="1"/>
  <c r="U38" i="30" s="1"/>
  <c r="U42" i="30" s="1"/>
  <c r="U11" i="30"/>
  <c r="V31" i="29"/>
  <c r="V30" i="29"/>
  <c r="V12" i="29"/>
  <c r="V11" i="29"/>
  <c r="T43" i="29"/>
  <c r="T44" i="29" s="1"/>
  <c r="U33" i="29"/>
  <c r="U38" i="29" s="1"/>
  <c r="U42" i="29" s="1"/>
  <c r="U43" i="29" s="1"/>
  <c r="R43" i="11"/>
  <c r="D52" i="25"/>
  <c r="D24" i="25"/>
  <c r="S33" i="11"/>
  <c r="S38" i="11" s="1"/>
  <c r="S42" i="11" s="1"/>
  <c r="S14" i="11"/>
  <c r="S18" i="11" s="1"/>
  <c r="S41" i="11" s="1"/>
  <c r="V26" i="11"/>
  <c r="V13" i="11"/>
  <c r="V32" i="11" s="1"/>
  <c r="T30" i="11"/>
  <c r="T31" i="11"/>
  <c r="V7" i="11"/>
  <c r="T11" i="11"/>
  <c r="T12" i="11"/>
  <c r="U23" i="11"/>
  <c r="U24" i="11" s="1"/>
  <c r="U27" i="11"/>
  <c r="V6" i="11"/>
  <c r="V25" i="11"/>
  <c r="U8" i="11"/>
  <c r="U4" i="11"/>
  <c r="U5" i="11" s="1"/>
  <c r="V33" i="29" l="1"/>
  <c r="V38" i="29" s="1"/>
  <c r="V42" i="29" s="1"/>
  <c r="U14" i="30"/>
  <c r="U18" i="30" s="1"/>
  <c r="U41" i="30" s="1"/>
  <c r="U43" i="30" s="1"/>
  <c r="V31" i="30"/>
  <c r="V30" i="30"/>
  <c r="V12" i="30"/>
  <c r="V11" i="30"/>
  <c r="U44" i="30"/>
  <c r="V14" i="30"/>
  <c r="V18" i="30" s="1"/>
  <c r="V41" i="30" s="1"/>
  <c r="V14" i="29"/>
  <c r="V18" i="29" s="1"/>
  <c r="V41" i="29" s="1"/>
  <c r="V43" i="29" s="1"/>
  <c r="U44" i="29"/>
  <c r="E52" i="25"/>
  <c r="F23" i="25"/>
  <c r="E24" i="25"/>
  <c r="S43" i="11"/>
  <c r="T33" i="11"/>
  <c r="T38" i="11" s="1"/>
  <c r="T42" i="11" s="1"/>
  <c r="U30" i="11"/>
  <c r="U33" i="11" s="1"/>
  <c r="U38" i="11" s="1"/>
  <c r="U42" i="11" s="1"/>
  <c r="U31" i="11"/>
  <c r="T14" i="11"/>
  <c r="T18" i="11" s="1"/>
  <c r="T41" i="11" s="1"/>
  <c r="U12" i="11"/>
  <c r="U11" i="11"/>
  <c r="V27" i="11"/>
  <c r="V23" i="11"/>
  <c r="V24" i="11" s="1"/>
  <c r="V8" i="11"/>
  <c r="V4" i="11"/>
  <c r="V5" i="11" s="1"/>
  <c r="V33" i="30" l="1"/>
  <c r="V38" i="30" s="1"/>
  <c r="V42" i="30" s="1"/>
  <c r="V43" i="30" s="1"/>
  <c r="V44" i="30" s="1"/>
  <c r="V44" i="29"/>
  <c r="T43" i="11"/>
  <c r="V30" i="11"/>
  <c r="V31" i="11"/>
  <c r="U14" i="11"/>
  <c r="U18" i="11" s="1"/>
  <c r="U41" i="11" s="1"/>
  <c r="U43" i="11" s="1"/>
  <c r="V12" i="11"/>
  <c r="V11" i="11"/>
  <c r="M11" i="11"/>
  <c r="M30" i="11"/>
  <c r="M13" i="11"/>
  <c r="M32" i="11" s="1"/>
  <c r="M31" i="11"/>
  <c r="M12" i="11"/>
  <c r="V33" i="11" l="1"/>
  <c r="V38" i="11" s="1"/>
  <c r="V42" i="11" s="1"/>
  <c r="M14" i="11"/>
  <c r="M18" i="11" s="1"/>
  <c r="M41" i="11" s="1"/>
  <c r="M33" i="11"/>
  <c r="M38" i="11" s="1"/>
  <c r="M42" i="11" s="1"/>
  <c r="V14" i="11"/>
  <c r="V18" i="11" s="1"/>
  <c r="V41" i="11" s="1"/>
  <c r="V43" i="11" l="1"/>
  <c r="M43" i="11"/>
  <c r="M44" i="11" s="1"/>
  <c r="N44" i="11" s="1"/>
  <c r="O44" i="11" s="1"/>
  <c r="P44" i="11" s="1"/>
  <c r="Q44" i="11" s="1"/>
  <c r="R44" i="11" s="1"/>
  <c r="S44" i="11" s="1"/>
  <c r="T44" i="11" s="1"/>
  <c r="U44" i="11" s="1"/>
  <c r="V44" i="11" l="1"/>
</calcChain>
</file>

<file path=xl/sharedStrings.xml><?xml version="1.0" encoding="utf-8"?>
<sst xmlns="http://schemas.openxmlformats.org/spreadsheetml/2006/main" count="913" uniqueCount="184">
  <si>
    <t xml:space="preserve"> </t>
  </si>
  <si>
    <t xml:space="preserve">Total  Annual Adjusted Toll Revenue     </t>
  </si>
  <si>
    <t>tunnel and Slab rehabilitation</t>
  </si>
  <si>
    <t>Open Road Tolling with Cash Lanes (ORT)</t>
  </si>
  <si>
    <t xml:space="preserve">   tolls from E-Zpass</t>
  </si>
  <si>
    <t>All Electronic Tolling (AET)</t>
  </si>
  <si>
    <t xml:space="preserve">   tolls from video billing</t>
  </si>
  <si>
    <t>Less: Expenses</t>
  </si>
  <si>
    <t xml:space="preserve">   annual debt service</t>
  </si>
  <si>
    <t>Year 1</t>
  </si>
  <si>
    <t>Year 2</t>
  </si>
  <si>
    <t>Year 3</t>
  </si>
  <si>
    <t>Year 4</t>
  </si>
  <si>
    <t>Year 5</t>
  </si>
  <si>
    <r>
      <t>Less: Leakage</t>
    </r>
    <r>
      <rPr>
        <sz val="9"/>
        <color indexed="8"/>
        <rFont val="Arial"/>
        <family val="2"/>
      </rPr>
      <t xml:space="preserve">  (see Proposal - Section 7)</t>
    </r>
  </si>
  <si>
    <t xml:space="preserve">Total Annual Adjusted Toll Revenue     </t>
  </si>
  <si>
    <t>Year 6</t>
  </si>
  <si>
    <t>Year 7</t>
  </si>
  <si>
    <t>Year 8</t>
  </si>
  <si>
    <t>Year 9</t>
  </si>
  <si>
    <t>Year 10</t>
  </si>
  <si>
    <t xml:space="preserve">Total Annual Net AET Revenue      </t>
  </si>
  <si>
    <t xml:space="preserve">Total Annual Net ORT Revenue      </t>
  </si>
  <si>
    <t xml:space="preserve">Revenue Difference    </t>
  </si>
  <si>
    <r>
      <t xml:space="preserve">Potential Revenue  </t>
    </r>
    <r>
      <rPr>
        <sz val="9"/>
        <color indexed="8"/>
        <rFont val="Arial"/>
        <family val="2"/>
      </rPr>
      <t>(see Proposal - Section 6)</t>
    </r>
  </si>
  <si>
    <t xml:space="preserve">Total Toll Revenue     </t>
  </si>
  <si>
    <t xml:space="preserve">Total Gross Revenue     </t>
  </si>
  <si>
    <t>Difference Between AET and ORT</t>
  </si>
  <si>
    <t>Year 11</t>
  </si>
  <si>
    <t>Year 12</t>
  </si>
  <si>
    <t>Year 13</t>
  </si>
  <si>
    <t>Year 14</t>
  </si>
  <si>
    <t>Year 15</t>
  </si>
  <si>
    <t>Year 16</t>
  </si>
  <si>
    <t>Year 17</t>
  </si>
  <si>
    <t>Year 18</t>
  </si>
  <si>
    <t>Year 19</t>
  </si>
  <si>
    <t>Year 20</t>
  </si>
  <si>
    <t xml:space="preserve">   non-routine maintenance</t>
  </si>
  <si>
    <t>"Open Road" toll system (ORT) as proposed by MTA</t>
  </si>
  <si>
    <t>"All Electronic" toll system (AET) as proposed by WHOA</t>
  </si>
  <si>
    <t>Both Alternatives</t>
  </si>
  <si>
    <t>Either alternative will require removal of the existing toll plaza and restoration of the surrounding environment at Mile Marker 7.1.  
The cost for this work is not included in construction costs shown above.</t>
  </si>
  <si>
    <t>Total Non-routine Maintenance (no inflation)</t>
  </si>
  <si>
    <t>Formula Parameters:</t>
  </si>
  <si>
    <t>vehicle trips (50)</t>
  </si>
  <si>
    <t xml:space="preserve">times  </t>
  </si>
  <si>
    <t xml:space="preserve">equals  </t>
  </si>
  <si>
    <t>% are vehicles without EzPass (55)</t>
  </si>
  <si>
    <t>violation level,as related to 100% (60)</t>
  </si>
  <si>
    <t>average toll rate for all vehicles (51)</t>
  </si>
  <si>
    <t>% are non-local vehicles (53)</t>
  </si>
  <si>
    <t>% estimated leakage for non-local vehicles (57)</t>
  </si>
  <si>
    <t>total leakage for out-of-state vehicles</t>
  </si>
  <si>
    <t>total leakage for Maine/NH/Mass vehicles</t>
  </si>
  <si>
    <t xml:space="preserve">divided by  </t>
  </si>
  <si>
    <t>calculated round-trips</t>
  </si>
  <si>
    <t xml:space="preserve">Calculation Logic:   </t>
  </si>
  <si>
    <t>Non-routine Maintenance Costs</t>
  </si>
  <si>
    <t>are local vehicles (52)</t>
  </si>
  <si>
    <t>are vehicles without EzPass (55)</t>
  </si>
  <si>
    <t>estimated leakage for local vehicles (56)</t>
  </si>
  <si>
    <t>violation level,as related to 100% (61)</t>
  </si>
  <si>
    <t>are out-of-area vehicles (53)</t>
  </si>
  <si>
    <t>average admin. fee per round-trip (60)</t>
  </si>
  <si>
    <t xml:space="preserve"> Analysis of AET versus ORT ~ Maine Turnpike - York Toll Plaza       </t>
  </si>
  <si>
    <t xml:space="preserve">Assumptions </t>
  </si>
  <si>
    <t>Expense Comparison of Alternatives</t>
  </si>
  <si>
    <t>See next page →</t>
  </si>
  <si>
    <t>1)</t>
  </si>
  <si>
    <t>2)</t>
  </si>
  <si>
    <t>3)</t>
  </si>
  <si>
    <t>4)</t>
  </si>
  <si>
    <t>5)</t>
  </si>
  <si>
    <t>6)</t>
  </si>
  <si>
    <t>7)</t>
  </si>
  <si>
    <t>Even with Open Road tolling as proposed by the MTA, 10% of vehicles that should use cash lanes, will accidently or intentionally use the center highway-speed  lanes.</t>
  </si>
  <si>
    <t>Initial expected “leakage” with either ORT or AET tolling:</t>
  </si>
  <si>
    <t>B.</t>
  </si>
  <si>
    <t>C.</t>
  </si>
  <si>
    <t>D.</t>
  </si>
  <si>
    <t>A.</t>
  </si>
  <si>
    <t>Approximately 76% of all vehicles (13.5 million) using the York toll plaza have E-ZPass transponders; approximately 24% (4.3 million) do not.</t>
  </si>
  <si>
    <t>The York toll plaza produced revenue of $60.4 million in 2016.</t>
  </si>
  <si>
    <t>Each automobile currently pays a toll of $3.00.</t>
  </si>
  <si>
    <t>Class 3 - 6 truck/bus tolls = 11% of total revenue = $6.6 million; therefore autos = 89% of total revenue = $53.8 million</t>
  </si>
  <si>
    <t>The average toll per vehicle is $3.39 ($60.4 million divided by 17.8 million vehicles)</t>
  </si>
  <si>
    <t>Most vehicles using the York toll plaza make a "round-trip" resulting in about 9 million "vehicle trips."  This factor improves billing efficiency.</t>
  </si>
  <si>
    <t xml:space="preserve"> Factors applied to Revenue Calculations:</t>
  </si>
  <si>
    <t xml:space="preserve">       </t>
  </si>
  <si>
    <r>
      <t>Note:</t>
    </r>
    <r>
      <rPr>
        <sz val="11"/>
        <color theme="1"/>
        <rFont val="Times New Roman"/>
        <family val="1"/>
      </rPr>
      <t xml:space="preserve"> all but item #1 must be adjusted for annual inflation</t>
    </r>
  </si>
  <si>
    <r>
      <t xml:space="preserve">Non-routine maintenance for 20 years – $4,439,200 </t>
    </r>
    <r>
      <rPr>
        <i/>
        <sz val="11"/>
        <rFont val="Times New Roman"/>
        <family val="1"/>
      </rPr>
      <t>(see chart in AET Proposal, section 5.D) amortized over 20 years = $221,960 per year</t>
    </r>
  </si>
  <si>
    <t xml:space="preserve"> number of vehicle trips (annual increase = 2%)</t>
  </si>
  <si>
    <t xml:space="preserve"> average toll rate (increase 15% every 5 years)</t>
  </si>
  <si>
    <t xml:space="preserve"> percent of local vehicles (Maine/NH/Mass)</t>
  </si>
  <si>
    <t xml:space="preserve"> percent of non-local vehicles (other states/Canada)</t>
  </si>
  <si>
    <t xml:space="preserve"> percent of vehicles with EzPass </t>
  </si>
  <si>
    <t xml:space="preserve"> percent of vehicles without EzPass</t>
  </si>
  <si>
    <t xml:space="preserve"> percent of AET leakage for Maine/NH/Mass vehicles </t>
  </si>
  <si>
    <t xml:space="preserve"> percent of AET leakage for out-of-state vehicles</t>
  </si>
  <si>
    <t xml:space="preserve"> administrative fee per transaction (toll event)</t>
  </si>
  <si>
    <t xml:space="preserve"> mailing fee per bill (assumes 2 trans. per bill)</t>
  </si>
  <si>
    <t xml:space="preserve"> total administrative fee per visit (round trip)</t>
  </si>
  <si>
    <t xml:space="preserve"> violation level (as related to 100%) </t>
  </si>
  <si>
    <t xml:space="preserve"> annual inflation factor  </t>
  </si>
  <si>
    <t>violation level, as related to 100% (61)</t>
  </si>
  <si>
    <t>violation level, as related to 100% (60)</t>
  </si>
  <si>
    <t xml:space="preserve">   Example of leakage for out-of-area vehicles at 5%</t>
  </si>
  <si>
    <t xml:space="preserve">   Example of leakage for local vehicles at 5%</t>
  </si>
  <si>
    <t>concrete Islands, slab and other surface sealing</t>
  </si>
  <si>
    <t>approach pavement crack sealing</t>
  </si>
  <si>
    <t>canopy Roof sealing</t>
  </si>
  <si>
    <t>concrete approach pavement overlay</t>
  </si>
  <si>
    <t>times</t>
  </si>
  <si>
    <t>equals</t>
  </si>
  <si>
    <t>divided by</t>
  </si>
  <si>
    <t>Row #</t>
  </si>
  <si>
    <t>Description</t>
  </si>
  <si>
    <t xml:space="preserve">   tolls from cash and video billing</t>
  </si>
  <si>
    <t xml:space="preserve">   leakage for Maine/NH/Mass vehicles at 5%</t>
  </si>
  <si>
    <t xml:space="preserve">   leakage for out-of-area vehicles at 10%</t>
  </si>
  <si>
    <t>50  number of vehicle trips (annual increase = 2%)</t>
  </si>
  <si>
    <t>51  average toll rate (increase 15% every 5 years)</t>
  </si>
  <si>
    <t>53  percent of non-local vehicles (other states/Canada)</t>
  </si>
  <si>
    <t>52  percent of Maine/NH/Mass (local) vehicles</t>
  </si>
  <si>
    <t xml:space="preserve">54  percent of vehicles with EzPass </t>
  </si>
  <si>
    <t>55  percent of vehicles without EzPass</t>
  </si>
  <si>
    <t xml:space="preserve">56  percent of AET leakage for Maine/NH/Mass vehicles </t>
  </si>
  <si>
    <t>57  percent of AET leakage for out-of-state vehicles</t>
  </si>
  <si>
    <t>59  mailing fee per bill (assumes 2 trans. per bill)</t>
  </si>
  <si>
    <t xml:space="preserve">61  violation level (as related to 100%) </t>
  </si>
  <si>
    <t xml:space="preserve">62  annual inflation factor  </t>
  </si>
  <si>
    <t xml:space="preserve">Annual Revenue Difference    </t>
  </si>
  <si>
    <r>
      <t>Less: Leakage</t>
    </r>
    <r>
      <rPr>
        <sz val="9"/>
        <color indexed="8"/>
        <rFont val="Arial"/>
        <family val="2"/>
      </rPr>
      <t xml:space="preserve">  </t>
    </r>
    <r>
      <rPr>
        <i/>
        <sz val="9"/>
        <color indexed="8"/>
        <rFont val="Arial"/>
        <family val="2"/>
      </rPr>
      <t>(see Proposal - Section 7)</t>
    </r>
  </si>
  <si>
    <r>
      <t xml:space="preserve">Potential Revenue  </t>
    </r>
    <r>
      <rPr>
        <i/>
        <sz val="9"/>
        <color indexed="8"/>
        <rFont val="Arial"/>
        <family val="2"/>
      </rPr>
      <t>(see Proposal - Section 6)</t>
    </r>
  </si>
  <si>
    <r>
      <t xml:space="preserve">Potential Revenue </t>
    </r>
    <r>
      <rPr>
        <b/>
        <i/>
        <sz val="9"/>
        <color theme="1"/>
        <rFont val="Arial"/>
        <family val="2"/>
      </rPr>
      <t xml:space="preserve"> </t>
    </r>
    <r>
      <rPr>
        <i/>
        <sz val="9"/>
        <color indexed="8"/>
        <rFont val="Arial"/>
        <family val="2"/>
      </rPr>
      <t>(see Proposal - Section 6)</t>
    </r>
  </si>
  <si>
    <r>
      <t>Less: Leakage</t>
    </r>
    <r>
      <rPr>
        <sz val="9"/>
        <color indexed="8"/>
        <rFont val="Arial"/>
        <family val="2"/>
      </rPr>
      <t xml:space="preserve"> </t>
    </r>
    <r>
      <rPr>
        <i/>
        <sz val="9"/>
        <color indexed="8"/>
        <rFont val="Arial"/>
        <family val="2"/>
      </rPr>
      <t xml:space="preserve"> (see Proposal - Section 7)</t>
    </r>
  </si>
  <si>
    <r>
      <rPr>
        <i/>
        <sz val="10"/>
        <color theme="1"/>
        <rFont val="Arial"/>
        <family val="2"/>
      </rPr>
      <t>Row</t>
    </r>
    <r>
      <rPr>
        <b/>
        <i/>
        <sz val="10"/>
        <color theme="1"/>
        <rFont val="Arial"/>
        <family val="2"/>
      </rPr>
      <t xml:space="preserve">  Formula Parameters:</t>
    </r>
  </si>
  <si>
    <t xml:space="preserve">   Example of leakage for out-of-area vehicles at 10%</t>
  </si>
  <si>
    <t>Total</t>
  </si>
  <si>
    <t>Annual Cost</t>
  </si>
  <si>
    <t>Interest at</t>
  </si>
  <si>
    <t>Principal Balance</t>
  </si>
  <si>
    <t>Principal</t>
  </si>
  <si>
    <t>Monthly cost</t>
  </si>
  <si>
    <t xml:space="preserve">   surcharge fees from video billing</t>
  </si>
  <si>
    <t>year 1-10</t>
  </si>
  <si>
    <t>year 11-20</t>
  </si>
  <si>
    <t>Surcharge fees for camera-based bills expected to be $1.00 per transaction plus $3.00 per mailed invoice</t>
  </si>
  <si>
    <t xml:space="preserve">    ~   from 5% to 20% of billings for Maine, NH or Mass. vehicles without E-ZPass will be uncollectable (see different tabs)</t>
  </si>
  <si>
    <t xml:space="preserve">    ~   from 10% to 40% of billings for vehicles not from Maine, NH or Mass. without E-ZPass will be uncollectable (see different tabs)</t>
  </si>
  <si>
    <t>Transponder use will increase each year, partially due to Mass and NH going to AET on the Spaulding and at Hookset</t>
  </si>
  <si>
    <r>
      <t xml:space="preserve">toll rates increase approximately 15% every 5 years  </t>
    </r>
    <r>
      <rPr>
        <i/>
        <sz val="11"/>
        <rFont val="Times New Roman"/>
        <family val="1"/>
      </rPr>
      <t>(from 3.00 to 3.50... etc.)</t>
    </r>
  </si>
  <si>
    <r>
      <t xml:space="preserve">annual traffic increase of 2% per year </t>
    </r>
    <r>
      <rPr>
        <i/>
        <sz val="11"/>
        <rFont val="Times New Roman"/>
        <family val="1"/>
      </rPr>
      <t>(Operations and Maintenance Report - 2016)</t>
    </r>
  </si>
  <si>
    <t>Construction – $41 million  (a 20 year bond at 4% per year would result in a total payback cost of $58.2 million)</t>
  </si>
  <si>
    <t xml:space="preserve">   Example of leakage for local vehicles at 10%</t>
  </si>
  <si>
    <t xml:space="preserve">   Example of leakage for out-of-area vehicles at 20%</t>
  </si>
  <si>
    <t xml:space="preserve">   leakage for Maine/NH/Mass vehicles at 10%</t>
  </si>
  <si>
    <t xml:space="preserve">   leakage for out-of-area vehicles at 20%</t>
  </si>
  <si>
    <t xml:space="preserve">   Example of leakage for local vehicles at 20%</t>
  </si>
  <si>
    <t xml:space="preserve">   Example of leakage for out-of-area vehicles at 40%</t>
  </si>
  <si>
    <t xml:space="preserve">   Example of surcharge fee leakage at 5% for local vehicles </t>
  </si>
  <si>
    <t xml:space="preserve"> Example of surcharge fee leakage at 10% for out-of area vehicles </t>
  </si>
  <si>
    <t xml:space="preserve">   Example of surcharge fee leakage at 20% for local vehicles </t>
  </si>
  <si>
    <t xml:space="preserve"> Example of surcharge fee leakage at 40% for out-of area vehicles </t>
  </si>
  <si>
    <t>average surcharge fee per round-trip (60)</t>
  </si>
  <si>
    <t>60  total surcharge fee per visit (round trip)</t>
  </si>
  <si>
    <t xml:space="preserve">   Example of surcharge fee leakage at 10% for local vehicles </t>
  </si>
  <si>
    <t xml:space="preserve"> Example of surcharge fee leakage at 20% for out-of area vehicles </t>
  </si>
  <si>
    <t xml:space="preserve">   leakage of surcharge fees  </t>
  </si>
  <si>
    <t>58  surcharge per transaction (toll event)</t>
  </si>
  <si>
    <t xml:space="preserve">Cumulative Difference    </t>
  </si>
  <si>
    <t xml:space="preserve">Facts </t>
  </si>
  <si>
    <r>
      <t xml:space="preserve">Approximately 73% of all vehicles (13 million) are from Maine, NH,  Mass.  The remaining 27% (4.8 million) are from other states or Canada.
</t>
    </r>
    <r>
      <rPr>
        <i/>
        <sz val="11"/>
        <rFont val="Times New Roman"/>
        <family val="1"/>
      </rPr>
      <t>(from CDM Smith 2014 Maine Turnpike ORT/AET Impact Analysis, page 4)</t>
    </r>
  </si>
  <si>
    <r>
      <t xml:space="preserve">Approximately 17.8 million vehicles enter the York toll plaza from either the north or south each year. 
</t>
    </r>
    <r>
      <rPr>
        <i/>
        <sz val="11"/>
        <rFont val="Times New Roman"/>
        <family val="1"/>
      </rPr>
      <t>(from MTA – Operations and Maintenance Report - 2016, page 21)</t>
    </r>
  </si>
  <si>
    <t>About 80% of camera-based bills for Maine registered vehicles will be collectible by mail or from pre-paid customer accounts.</t>
  </si>
  <si>
    <t>About 60% of camera-based bills for vehicles not from Maine, NH or Mass. will be collectible by mail or from pre-paid customer accounts.</t>
  </si>
  <si>
    <r>
      <t xml:space="preserve">annual EZPass usage increase of 3% for first 2 years, 2% for next 3 years and 1% for next 15 years </t>
    </r>
    <r>
      <rPr>
        <i/>
        <sz val="11"/>
        <rFont val="Times New Roman"/>
        <family val="1"/>
      </rPr>
      <t>(due to increased patron acceptance)</t>
    </r>
  </si>
  <si>
    <t>Construction = $5 million (a 20 year bond at 4% per year would result in a total payback cost of $7.1 million)</t>
  </si>
  <si>
    <r>
      <t>Maintenance and Operating cost (M&amp;O</t>
    </r>
    <r>
      <rPr>
        <sz val="11"/>
        <rFont val="Times New Roman"/>
        <family val="1"/>
      </rPr>
      <t>) = $5,646,000</t>
    </r>
    <r>
      <rPr>
        <sz val="11"/>
        <color theme="1"/>
        <rFont val="Times New Roman"/>
        <family val="1"/>
      </rPr>
      <t xml:space="preserve"> per year (includes utilities and back-room collection process)</t>
    </r>
  </si>
  <si>
    <t>Maintenance and Operating cost (M&amp;O) – $5,436,000 per year  
(includes back-room collection process plus toll takers salaries and benefits, utilities, insurance etc.)</t>
  </si>
  <si>
    <t xml:space="preserve">   annual maintenance and operating cost</t>
  </si>
  <si>
    <t xml:space="preserve">   leakage for Maine/NH/Mass vehicles at 20%</t>
  </si>
  <si>
    <t xml:space="preserve">   leakage for out-of-area vehicles at 40%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</si>
</sst>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quot;$&quot;* #,##0_);_(&quot;$&quot;* \(#,##0\);_(&quot;$&quot;* &quot;-&quot;_);_(@_)"/>
    <numFmt numFmtId="41" formatCode="_(* #,##0_);_(* \(#,##0\);_(* &quot;-&quot;_);_(@_)"/>
    <numFmt numFmtId="43" formatCode="_(* #,##0.00_);_(* \(#,##0.00\);_(* &quot;-&quot;??_);_(@_)"/>
    <numFmt numFmtId="164" formatCode="[$-409]mmmm\ d\,\ yyyy;@"/>
    <numFmt numFmtId="165" formatCode="_(* #,##0_);_(* \(#,##0\);_(* &quot;-&quot;??_);_(@_)"/>
  </numFmts>
  <fonts count="26" x14ac:knownFonts="1">
    <font>
      <sz val="11"/>
      <color theme="1"/>
      <name val="Calibri"/>
      <family val="2"/>
      <scheme val="minor"/>
    </font>
    <font>
      <sz val="9"/>
      <color indexed="8"/>
      <name val="Arial"/>
      <family val="2"/>
    </font>
    <font>
      <sz val="9"/>
      <name val="Arial"/>
      <family val="2"/>
    </font>
    <font>
      <i/>
      <sz val="9"/>
      <name val="Arial"/>
      <family val="2"/>
    </font>
    <font>
      <sz val="10"/>
      <color theme="1"/>
      <name val="Arial"/>
      <family val="2"/>
    </font>
    <font>
      <sz val="9"/>
      <color theme="1"/>
      <name val="Arial"/>
      <family val="2"/>
    </font>
    <font>
      <b/>
      <sz val="9"/>
      <color theme="1"/>
      <name val="Arial"/>
      <family val="2"/>
    </font>
    <font>
      <i/>
      <sz val="9"/>
      <color theme="1"/>
      <name val="Arial"/>
      <family val="2"/>
    </font>
    <font>
      <b/>
      <i/>
      <sz val="9"/>
      <color theme="1"/>
      <name val="Arial"/>
      <family val="2"/>
    </font>
    <font>
      <b/>
      <i/>
      <sz val="10"/>
      <color theme="1"/>
      <name val="Arial"/>
      <family val="2"/>
    </font>
    <font>
      <sz val="12"/>
      <color theme="1"/>
      <name val="Times New Roman"/>
      <family val="1"/>
    </font>
    <font>
      <b/>
      <i/>
      <sz val="14"/>
      <color theme="1"/>
      <name val="Times New Roman"/>
      <family val="1"/>
    </font>
    <font>
      <b/>
      <i/>
      <sz val="12"/>
      <color theme="1"/>
      <name val="Times New Roman"/>
      <family val="1"/>
    </font>
    <font>
      <b/>
      <sz val="12"/>
      <color theme="1"/>
      <name val="Times New Roman"/>
      <family val="1"/>
    </font>
    <font>
      <i/>
      <sz val="12"/>
      <color theme="1"/>
      <name val="Times New Roman"/>
      <family val="1"/>
    </font>
    <font>
      <b/>
      <sz val="11"/>
      <color theme="1"/>
      <name val="Times New Roman"/>
      <family val="1"/>
    </font>
    <font>
      <sz val="11"/>
      <color theme="1"/>
      <name val="Times New Roman"/>
      <family val="1"/>
    </font>
    <font>
      <u/>
      <sz val="11"/>
      <color theme="1"/>
      <name val="Times New Roman"/>
      <family val="1"/>
    </font>
    <font>
      <i/>
      <sz val="11"/>
      <name val="Times New Roman"/>
      <family val="1"/>
    </font>
    <font>
      <i/>
      <sz val="14"/>
      <color theme="1"/>
      <name val="Times New Roman"/>
      <family val="1"/>
    </font>
    <font>
      <sz val="11"/>
      <name val="Times New Roman"/>
      <family val="1"/>
    </font>
    <font>
      <sz val="12"/>
      <name val="Times New Roman"/>
      <family val="1"/>
    </font>
    <font>
      <b/>
      <i/>
      <sz val="11"/>
      <color theme="1"/>
      <name val="Arial"/>
      <family val="2"/>
    </font>
    <font>
      <i/>
      <sz val="9"/>
      <color indexed="8"/>
      <name val="Arial"/>
      <family val="2"/>
    </font>
    <font>
      <i/>
      <sz val="10"/>
      <color theme="1"/>
      <name val="Arial"/>
      <family val="2"/>
    </font>
    <font>
      <sz val="11"/>
      <color theme="1"/>
      <name val="Arial"/>
      <family val="2"/>
    </font>
  </fonts>
  <fills count="3">
    <fill>
      <patternFill patternType="none"/>
    </fill>
    <fill>
      <patternFill patternType="gray125"/>
    </fill>
    <fill>
      <patternFill patternType="solid">
        <fgColor theme="8" tint="0.79998168889431442"/>
        <bgColor indexed="64"/>
      </patternFill>
    </fill>
  </fills>
  <borders count="23">
    <border>
      <left/>
      <right/>
      <top/>
      <bottom/>
      <diagonal/>
    </border>
    <border>
      <left/>
      <right style="hair">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hair">
        <color indexed="64"/>
      </right>
      <top/>
      <bottom/>
      <diagonal/>
    </border>
    <border>
      <left/>
      <right style="hair">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hair">
        <color indexed="64"/>
      </left>
      <right style="thin">
        <color indexed="64"/>
      </right>
      <top/>
      <bottom/>
      <diagonal/>
    </border>
    <border>
      <left/>
      <right style="thin">
        <color indexed="64"/>
      </right>
      <top/>
      <bottom/>
      <diagonal/>
    </border>
    <border>
      <left/>
      <right/>
      <top/>
      <bottom style="hair">
        <color indexed="64"/>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s>
  <cellStyleXfs count="3">
    <xf numFmtId="0" fontId="0" fillId="0" borderId="0"/>
    <xf numFmtId="43" fontId="25" fillId="0" borderId="0" applyFont="0" applyFill="0" applyBorder="0" applyAlignment="0" applyProtection="0"/>
    <xf numFmtId="9" fontId="25" fillId="0" borderId="0" applyFont="0" applyFill="0" applyBorder="0" applyAlignment="0" applyProtection="0"/>
  </cellStyleXfs>
  <cellXfs count="196">
    <xf numFmtId="0" fontId="0" fillId="0" borderId="0" xfId="0"/>
    <xf numFmtId="0" fontId="4" fillId="0" borderId="0" xfId="0" applyFont="1"/>
    <xf numFmtId="0" fontId="5" fillId="0" borderId="0" xfId="0" applyFont="1"/>
    <xf numFmtId="0" fontId="5" fillId="0" borderId="0" xfId="0" applyFont="1" applyAlignment="1">
      <alignment vertical="center"/>
    </xf>
    <xf numFmtId="41" fontId="5" fillId="0" borderId="0" xfId="0" applyNumberFormat="1" applyFont="1" applyAlignment="1">
      <alignment vertical="center"/>
    </xf>
    <xf numFmtId="41" fontId="6" fillId="0" borderId="1" xfId="0" applyNumberFormat="1" applyFont="1" applyBorder="1" applyAlignment="1">
      <alignment horizontal="center" vertical="center"/>
    </xf>
    <xf numFmtId="41" fontId="5" fillId="0" borderId="0" xfId="0" applyNumberFormat="1" applyFont="1" applyAlignment="1">
      <alignment horizontal="center"/>
    </xf>
    <xf numFmtId="0" fontId="5" fillId="0" borderId="0" xfId="0" applyFont="1" applyAlignment="1">
      <alignment horizontal="center"/>
    </xf>
    <xf numFmtId="0" fontId="7" fillId="0" borderId="0" xfId="0" applyFont="1"/>
    <xf numFmtId="0" fontId="7" fillId="0" borderId="2" xfId="0" applyFont="1" applyFill="1" applyBorder="1" applyAlignment="1">
      <alignment horizontal="center" vertical="center"/>
    </xf>
    <xf numFmtId="41" fontId="5" fillId="0" borderId="3" xfId="0" applyNumberFormat="1" applyFont="1" applyBorder="1" applyAlignment="1">
      <alignment horizontal="center" vertical="center"/>
    </xf>
    <xf numFmtId="41" fontId="5" fillId="0" borderId="0" xfId="0" applyNumberFormat="1" applyFont="1" applyBorder="1" applyAlignment="1">
      <alignment horizontal="center" vertical="center"/>
    </xf>
    <xf numFmtId="41" fontId="6" fillId="0" borderId="4" xfId="0" applyNumberFormat="1" applyFont="1" applyBorder="1" applyAlignment="1">
      <alignment horizontal="center" vertical="center"/>
    </xf>
    <xf numFmtId="0" fontId="7" fillId="0" borderId="5" xfId="0" applyFont="1" applyFill="1" applyBorder="1" applyAlignment="1">
      <alignment horizontal="center" vertical="center"/>
    </xf>
    <xf numFmtId="0" fontId="7" fillId="0" borderId="6" xfId="0" applyFont="1" applyBorder="1"/>
    <xf numFmtId="0" fontId="6" fillId="0" borderId="7" xfId="0" applyFont="1" applyBorder="1" applyAlignment="1">
      <alignment vertical="center"/>
    </xf>
    <xf numFmtId="0" fontId="5" fillId="0" borderId="8" xfId="0" applyFont="1" applyBorder="1" applyAlignment="1">
      <alignment vertical="center"/>
    </xf>
    <xf numFmtId="0" fontId="6" fillId="0" borderId="8" xfId="0" applyFont="1" applyBorder="1" applyAlignment="1">
      <alignment horizontal="right" vertical="center"/>
    </xf>
    <xf numFmtId="0" fontId="6" fillId="0" borderId="8" xfId="0" applyFont="1" applyBorder="1" applyAlignment="1">
      <alignment vertical="center"/>
    </xf>
    <xf numFmtId="0" fontId="5" fillId="0" borderId="0" xfId="0" applyFont="1" applyAlignment="1"/>
    <xf numFmtId="41" fontId="5" fillId="0" borderId="9" xfId="0" applyNumberFormat="1" applyFont="1" applyBorder="1" applyAlignment="1">
      <alignment horizontal="center" vertical="center"/>
    </xf>
    <xf numFmtId="41" fontId="2" fillId="0" borderId="0" xfId="0" applyNumberFormat="1" applyFont="1" applyBorder="1" applyAlignment="1">
      <alignment horizontal="center" vertical="center"/>
    </xf>
    <xf numFmtId="0" fontId="7" fillId="0" borderId="0" xfId="0" applyFont="1" applyAlignment="1">
      <alignment vertical="center"/>
    </xf>
    <xf numFmtId="0" fontId="5" fillId="0" borderId="0" xfId="0" applyFont="1" applyAlignment="1">
      <alignment horizontal="right"/>
    </xf>
    <xf numFmtId="0" fontId="5" fillId="0" borderId="8" xfId="0" applyFont="1" applyBorder="1" applyAlignment="1">
      <alignment horizontal="right" vertical="center"/>
    </xf>
    <xf numFmtId="41" fontId="5" fillId="0" borderId="4" xfId="0" applyNumberFormat="1" applyFont="1" applyBorder="1" applyAlignment="1">
      <alignment horizontal="center" vertical="center"/>
    </xf>
    <xf numFmtId="41" fontId="6" fillId="0" borderId="10" xfId="0" applyNumberFormat="1" applyFont="1" applyBorder="1" applyAlignment="1">
      <alignment horizontal="center" vertical="center"/>
    </xf>
    <xf numFmtId="0" fontId="6" fillId="0" borderId="0" xfId="0" applyFont="1"/>
    <xf numFmtId="41" fontId="6" fillId="0" borderId="11" xfId="0" applyNumberFormat="1" applyFont="1" applyBorder="1" applyAlignment="1">
      <alignment vertical="center"/>
    </xf>
    <xf numFmtId="0" fontId="6" fillId="0" borderId="0" xfId="0" applyFont="1" applyAlignment="1">
      <alignment vertical="center"/>
    </xf>
    <xf numFmtId="0" fontId="6" fillId="0" borderId="8" xfId="0" applyFont="1" applyBorder="1" applyAlignment="1"/>
    <xf numFmtId="41" fontId="5" fillId="0" borderId="0" xfId="0" applyNumberFormat="1" applyFont="1" applyBorder="1" applyAlignment="1">
      <alignment horizontal="center"/>
    </xf>
    <xf numFmtId="0" fontId="6" fillId="0" borderId="0" xfId="0" applyFont="1" applyBorder="1" applyAlignment="1">
      <alignment horizontal="center" vertical="center"/>
    </xf>
    <xf numFmtId="41" fontId="5" fillId="0" borderId="0" xfId="0" applyNumberFormat="1" applyFont="1"/>
    <xf numFmtId="0" fontId="5" fillId="0" borderId="6" xfId="0" applyFont="1" applyBorder="1" applyAlignment="1">
      <alignment horizontal="right" vertical="center"/>
    </xf>
    <xf numFmtId="41" fontId="5" fillId="0" borderId="6" xfId="0" applyNumberFormat="1" applyFont="1" applyBorder="1" applyAlignment="1">
      <alignment horizontal="center" vertical="center"/>
    </xf>
    <xf numFmtId="41" fontId="5" fillId="0" borderId="8" xfId="0" applyNumberFormat="1" applyFont="1" applyBorder="1" applyAlignment="1">
      <alignment vertical="center"/>
    </xf>
    <xf numFmtId="41" fontId="6" fillId="0" borderId="12" xfId="0" applyNumberFormat="1" applyFont="1" applyBorder="1" applyAlignment="1">
      <alignment vertical="center"/>
    </xf>
    <xf numFmtId="41" fontId="5" fillId="0" borderId="8" xfId="0" applyNumberFormat="1" applyFont="1" applyBorder="1" applyAlignment="1">
      <alignment horizontal="center" vertical="center"/>
    </xf>
    <xf numFmtId="41" fontId="6" fillId="0" borderId="6" xfId="0" applyNumberFormat="1" applyFont="1" applyBorder="1" applyAlignment="1">
      <alignment horizontal="center" vertical="center"/>
    </xf>
    <xf numFmtId="41" fontId="5" fillId="0" borderId="8" xfId="0" applyNumberFormat="1" applyFont="1" applyBorder="1" applyAlignment="1">
      <alignment horizontal="center"/>
    </xf>
    <xf numFmtId="0" fontId="5" fillId="0" borderId="8" xfId="0" applyFont="1" applyBorder="1" applyAlignment="1"/>
    <xf numFmtId="41" fontId="6" fillId="0" borderId="12" xfId="0" applyNumberFormat="1" applyFont="1" applyBorder="1" applyAlignment="1">
      <alignment horizontal="center" vertical="center"/>
    </xf>
    <xf numFmtId="41" fontId="5" fillId="0" borderId="13" xfId="0" applyNumberFormat="1" applyFont="1" applyBorder="1" applyAlignment="1">
      <alignment horizontal="center" vertical="center"/>
    </xf>
    <xf numFmtId="0" fontId="5" fillId="0" borderId="6" xfId="0" applyFont="1" applyBorder="1" applyAlignment="1">
      <alignment vertical="center"/>
    </xf>
    <xf numFmtId="0" fontId="6" fillId="0" borderId="0" xfId="0" applyFont="1" applyBorder="1" applyAlignment="1">
      <alignment horizontal="center" vertical="center"/>
    </xf>
    <xf numFmtId="0" fontId="7" fillId="0" borderId="14" xfId="0" applyFont="1" applyFill="1" applyBorder="1" applyAlignment="1">
      <alignment horizontal="center" vertical="center"/>
    </xf>
    <xf numFmtId="9" fontId="5" fillId="0" borderId="8" xfId="0" applyNumberFormat="1" applyFont="1" applyBorder="1" applyAlignment="1">
      <alignment horizontal="right"/>
    </xf>
    <xf numFmtId="41" fontId="5" fillId="0" borderId="8" xfId="0" applyNumberFormat="1" applyFont="1" applyBorder="1"/>
    <xf numFmtId="9" fontId="5" fillId="0" borderId="8" xfId="0" applyNumberFormat="1" applyFont="1" applyBorder="1" applyAlignment="1">
      <alignment horizontal="right" wrapText="1"/>
    </xf>
    <xf numFmtId="9" fontId="5" fillId="0" borderId="0" xfId="0" applyNumberFormat="1" applyFont="1" applyBorder="1" applyAlignment="1">
      <alignment horizontal="right" wrapText="1"/>
    </xf>
    <xf numFmtId="9" fontId="5" fillId="0" borderId="0" xfId="0" applyNumberFormat="1" applyFont="1" applyBorder="1" applyAlignment="1">
      <alignment horizontal="right"/>
    </xf>
    <xf numFmtId="43" fontId="5" fillId="0" borderId="0" xfId="0" applyNumberFormat="1" applyFont="1" applyBorder="1" applyAlignment="1">
      <alignment horizontal="center"/>
    </xf>
    <xf numFmtId="41" fontId="5" fillId="0" borderId="0" xfId="0" applyNumberFormat="1" applyFont="1" applyBorder="1"/>
    <xf numFmtId="41" fontId="5" fillId="0" borderId="0" xfId="0" applyNumberFormat="1" applyFont="1" applyBorder="1" applyAlignment="1">
      <alignment vertical="center"/>
    </xf>
    <xf numFmtId="0" fontId="3" fillId="0" borderId="8" xfId="0" applyFont="1" applyBorder="1" applyAlignment="1">
      <alignment horizontal="right" vertical="center"/>
    </xf>
    <xf numFmtId="41" fontId="3" fillId="0" borderId="0" xfId="0" applyNumberFormat="1" applyFont="1" applyAlignment="1">
      <alignment horizontal="center" vertical="center"/>
    </xf>
    <xf numFmtId="41" fontId="3" fillId="0" borderId="0" xfId="0" applyNumberFormat="1" applyFont="1" applyAlignment="1">
      <alignment vertical="center"/>
    </xf>
    <xf numFmtId="41" fontId="3" fillId="0" borderId="8" xfId="0" applyNumberFormat="1" applyFont="1" applyBorder="1" applyAlignment="1">
      <alignment vertical="center"/>
    </xf>
    <xf numFmtId="0" fontId="3" fillId="0" borderId="0" xfId="0" applyFont="1" applyAlignment="1">
      <alignment vertical="center"/>
    </xf>
    <xf numFmtId="0" fontId="10" fillId="0" borderId="0" xfId="0" applyFont="1"/>
    <xf numFmtId="0" fontId="10" fillId="0" borderId="0" xfId="0" applyFont="1" applyAlignment="1">
      <alignment horizontal="left" indent="5"/>
    </xf>
    <xf numFmtId="0" fontId="10" fillId="0" borderId="0" xfId="0" applyFont="1" applyAlignment="1">
      <alignment horizontal="center"/>
    </xf>
    <xf numFmtId="0" fontId="11" fillId="0" borderId="0" xfId="0" applyFont="1"/>
    <xf numFmtId="0" fontId="12" fillId="0" borderId="0" xfId="0" applyFont="1" applyAlignment="1">
      <alignment horizontal="center"/>
    </xf>
    <xf numFmtId="0" fontId="8" fillId="0" borderId="8" xfId="0" applyFont="1" applyBorder="1" applyAlignment="1">
      <alignment horizontal="right" vertical="center"/>
    </xf>
    <xf numFmtId="0" fontId="5" fillId="0" borderId="0" xfId="0" applyFont="1" applyBorder="1" applyAlignment="1">
      <alignment vertical="center"/>
    </xf>
    <xf numFmtId="41" fontId="5" fillId="0" borderId="10" xfId="0" applyNumberFormat="1" applyFont="1" applyBorder="1" applyAlignment="1">
      <alignment horizontal="center" vertical="center"/>
    </xf>
    <xf numFmtId="41" fontId="6" fillId="0" borderId="11" xfId="0" applyNumberFormat="1" applyFont="1" applyBorder="1" applyAlignment="1">
      <alignment horizontal="center" vertical="center"/>
    </xf>
    <xf numFmtId="0" fontId="5" fillId="0" borderId="0" xfId="0" applyFont="1" applyBorder="1" applyAlignment="1"/>
    <xf numFmtId="41" fontId="3" fillId="0" borderId="0" xfId="0" applyNumberFormat="1" applyFont="1" applyBorder="1" applyAlignment="1">
      <alignment vertical="center"/>
    </xf>
    <xf numFmtId="0" fontId="8" fillId="0" borderId="8" xfId="0" applyFont="1" applyBorder="1" applyAlignment="1">
      <alignment vertical="center"/>
    </xf>
    <xf numFmtId="0" fontId="3" fillId="0" borderId="0" xfId="0" applyFont="1" applyBorder="1" applyAlignment="1">
      <alignment horizontal="right" vertical="center"/>
    </xf>
    <xf numFmtId="0" fontId="5" fillId="0" borderId="10" xfId="0" applyFont="1" applyBorder="1" applyAlignment="1">
      <alignment horizontal="center"/>
    </xf>
    <xf numFmtId="0" fontId="5" fillId="0" borderId="10" xfId="0" applyFont="1" applyBorder="1"/>
    <xf numFmtId="0" fontId="5" fillId="0" borderId="6" xfId="0" applyFont="1" applyBorder="1"/>
    <xf numFmtId="0" fontId="5" fillId="0" borderId="18" xfId="0" applyFont="1" applyBorder="1" applyAlignment="1">
      <alignment vertical="center"/>
    </xf>
    <xf numFmtId="41" fontId="5" fillId="0" borderId="0" xfId="0" applyNumberFormat="1" applyFont="1" applyBorder="1" applyAlignment="1">
      <alignment horizontal="right" vertical="center"/>
    </xf>
    <xf numFmtId="41" fontId="5" fillId="0" borderId="8" xfId="0" applyNumberFormat="1" applyFont="1" applyBorder="1" applyAlignment="1">
      <alignment horizontal="right" vertical="center"/>
    </xf>
    <xf numFmtId="43" fontId="5" fillId="0" borderId="0" xfId="0" applyNumberFormat="1" applyFont="1" applyBorder="1" applyAlignment="1">
      <alignment horizontal="right" vertical="center"/>
    </xf>
    <xf numFmtId="43" fontId="5" fillId="0" borderId="8" xfId="0" applyNumberFormat="1" applyFont="1" applyBorder="1" applyAlignment="1">
      <alignment horizontal="right" vertical="center"/>
    </xf>
    <xf numFmtId="0" fontId="5" fillId="0" borderId="18" xfId="0" applyFont="1" applyBorder="1" applyAlignment="1">
      <alignment horizontal="left" wrapText="1"/>
    </xf>
    <xf numFmtId="0" fontId="5" fillId="0" borderId="18" xfId="0" applyFont="1" applyBorder="1" applyAlignment="1">
      <alignment wrapText="1"/>
    </xf>
    <xf numFmtId="43" fontId="5" fillId="0" borderId="0" xfId="0" applyNumberFormat="1" applyFont="1" applyBorder="1" applyAlignment="1">
      <alignment horizontal="right"/>
    </xf>
    <xf numFmtId="43" fontId="5" fillId="0" borderId="8" xfId="0" applyNumberFormat="1" applyFont="1" applyBorder="1" applyAlignment="1">
      <alignment horizontal="right"/>
    </xf>
    <xf numFmtId="0" fontId="5" fillId="0" borderId="19" xfId="0" applyFont="1" applyBorder="1" applyAlignment="1">
      <alignment horizontal="left" wrapText="1"/>
    </xf>
    <xf numFmtId="9" fontId="5" fillId="0" borderId="17" xfId="0" applyNumberFormat="1" applyFont="1" applyBorder="1" applyAlignment="1">
      <alignment horizontal="right" wrapText="1"/>
    </xf>
    <xf numFmtId="9" fontId="5" fillId="0" borderId="17" xfId="0" applyNumberFormat="1" applyFont="1" applyBorder="1" applyAlignment="1">
      <alignment horizontal="right"/>
    </xf>
    <xf numFmtId="9" fontId="5" fillId="0" borderId="15" xfId="0" applyNumberFormat="1" applyFont="1" applyBorder="1" applyAlignment="1">
      <alignment horizontal="right"/>
    </xf>
    <xf numFmtId="43" fontId="5" fillId="0" borderId="0" xfId="0" applyNumberFormat="1" applyFont="1" applyBorder="1" applyAlignment="1">
      <alignment vertical="center"/>
    </xf>
    <xf numFmtId="43" fontId="5" fillId="0" borderId="8" xfId="0" applyNumberFormat="1" applyFont="1" applyBorder="1" applyAlignment="1">
      <alignment vertical="center"/>
    </xf>
    <xf numFmtId="43" fontId="5" fillId="0" borderId="0" xfId="0" applyNumberFormat="1" applyFont="1" applyBorder="1" applyAlignment="1"/>
    <xf numFmtId="0" fontId="8" fillId="0" borderId="20" xfId="0" applyFont="1" applyBorder="1" applyAlignment="1">
      <alignment vertical="center"/>
    </xf>
    <xf numFmtId="0" fontId="5" fillId="0" borderId="21" xfId="0" applyFont="1" applyBorder="1"/>
    <xf numFmtId="41" fontId="6" fillId="0" borderId="22" xfId="0" applyNumberFormat="1" applyFont="1" applyBorder="1" applyAlignment="1">
      <alignment horizontal="right" vertical="center"/>
    </xf>
    <xf numFmtId="41" fontId="5" fillId="0" borderId="16" xfId="0" applyNumberFormat="1" applyFont="1" applyBorder="1" applyAlignment="1">
      <alignment horizontal="center" vertical="center"/>
    </xf>
    <xf numFmtId="41" fontId="5" fillId="0" borderId="5" xfId="0" applyNumberFormat="1" applyFont="1" applyBorder="1" applyAlignment="1">
      <alignment horizontal="center" vertical="center"/>
    </xf>
    <xf numFmtId="41" fontId="6" fillId="0" borderId="19" xfId="0" applyNumberFormat="1" applyFont="1" applyBorder="1" applyAlignment="1">
      <alignment horizontal="right" vertical="center"/>
    </xf>
    <xf numFmtId="0" fontId="5" fillId="0" borderId="0" xfId="0" applyFont="1" applyAlignment="1">
      <alignment horizontal="left"/>
    </xf>
    <xf numFmtId="42" fontId="5" fillId="0" borderId="0" xfId="0" applyNumberFormat="1" applyFont="1"/>
    <xf numFmtId="9" fontId="5" fillId="0" borderId="0" xfId="0" applyNumberFormat="1" applyFont="1"/>
    <xf numFmtId="43" fontId="5" fillId="0" borderId="0" xfId="0" applyNumberFormat="1" applyFont="1"/>
    <xf numFmtId="0" fontId="5" fillId="0" borderId="0" xfId="0" applyFont="1" applyAlignment="1">
      <alignment horizontal="right" vertical="center"/>
    </xf>
    <xf numFmtId="0" fontId="8" fillId="0" borderId="0" xfId="0" applyFont="1" applyAlignment="1">
      <alignment horizontal="right" vertical="center"/>
    </xf>
    <xf numFmtId="0" fontId="5" fillId="0" borderId="10" xfId="0" applyFont="1" applyBorder="1" applyAlignment="1">
      <alignment vertical="center"/>
    </xf>
    <xf numFmtId="42" fontId="5" fillId="0" borderId="10" xfId="0" applyNumberFormat="1" applyFont="1" applyBorder="1" applyAlignment="1">
      <alignment vertical="center"/>
    </xf>
    <xf numFmtId="0" fontId="16" fillId="0" borderId="0" xfId="0" applyFont="1"/>
    <xf numFmtId="0" fontId="10" fillId="0" borderId="0" xfId="0" applyFont="1" applyAlignment="1">
      <alignment horizontal="left"/>
    </xf>
    <xf numFmtId="0" fontId="11" fillId="0" borderId="0" xfId="0" applyFont="1" applyAlignment="1"/>
    <xf numFmtId="0" fontId="16" fillId="0" borderId="0" xfId="0" applyFont="1" applyAlignment="1">
      <alignment horizontal="center"/>
    </xf>
    <xf numFmtId="0" fontId="16" fillId="0" borderId="0" xfId="0" applyFont="1" applyAlignment="1">
      <alignment horizontal="left"/>
    </xf>
    <xf numFmtId="0" fontId="16" fillId="0" borderId="0" xfId="0" applyFont="1" applyAlignment="1">
      <alignment vertical="top"/>
    </xf>
    <xf numFmtId="0" fontId="16" fillId="0" borderId="0" xfId="0" applyFont="1" applyAlignment="1">
      <alignment vertical="top" wrapText="1"/>
    </xf>
    <xf numFmtId="0" fontId="10" fillId="0" borderId="0" xfId="0" applyFont="1" applyAlignment="1">
      <alignment horizontal="left" vertical="top"/>
    </xf>
    <xf numFmtId="0" fontId="12" fillId="0" borderId="0" xfId="0" applyFont="1" applyAlignment="1">
      <alignment horizontal="left" vertical="center"/>
    </xf>
    <xf numFmtId="0" fontId="11"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vertical="center"/>
    </xf>
    <xf numFmtId="0" fontId="16" fillId="0" borderId="0" xfId="0" applyFont="1" applyAlignment="1">
      <alignment horizontal="left" vertical="top"/>
    </xf>
    <xf numFmtId="0" fontId="20" fillId="0" borderId="0" xfId="0" applyFont="1" applyAlignment="1">
      <alignment wrapText="1"/>
    </xf>
    <xf numFmtId="0" fontId="20" fillId="0" borderId="0" xfId="0" applyFont="1" applyAlignment="1">
      <alignment vertical="top" wrapText="1"/>
    </xf>
    <xf numFmtId="0" fontId="10" fillId="0" borderId="0" xfId="0" applyFont="1" applyAlignment="1">
      <alignment vertical="top" wrapText="1"/>
    </xf>
    <xf numFmtId="0" fontId="16" fillId="0" borderId="0" xfId="0" applyFont="1" applyAlignment="1">
      <alignment horizontal="left" vertical="top" wrapText="1"/>
    </xf>
    <xf numFmtId="0" fontId="14" fillId="0" borderId="0" xfId="0" applyFont="1" applyAlignment="1">
      <alignment vertical="center"/>
    </xf>
    <xf numFmtId="0" fontId="19" fillId="0" borderId="0" xfId="0" applyFont="1" applyAlignment="1">
      <alignment horizontal="center" vertical="center"/>
    </xf>
    <xf numFmtId="0" fontId="19" fillId="0" borderId="0" xfId="0" applyFont="1" applyAlignment="1">
      <alignment vertical="center"/>
    </xf>
    <xf numFmtId="0" fontId="21" fillId="0" borderId="0" xfId="0" applyFont="1" applyAlignment="1">
      <alignment horizontal="left"/>
    </xf>
    <xf numFmtId="0" fontId="20" fillId="0" borderId="0" xfId="0" applyFont="1" applyAlignment="1"/>
    <xf numFmtId="0" fontId="20" fillId="0" borderId="0" xfId="0" applyFont="1" applyAlignment="1">
      <alignment horizontal="center"/>
    </xf>
    <xf numFmtId="0" fontId="20" fillId="0" borderId="0" xfId="0" applyFont="1"/>
    <xf numFmtId="0" fontId="13"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vertical="center"/>
    </xf>
    <xf numFmtId="0" fontId="16" fillId="0" borderId="0" xfId="0" applyFont="1" applyAlignment="1">
      <alignment horizontal="left" vertical="center"/>
    </xf>
    <xf numFmtId="0" fontId="15" fillId="0" borderId="0" xfId="0" applyFont="1" applyAlignment="1">
      <alignment vertical="center"/>
    </xf>
    <xf numFmtId="0" fontId="17" fillId="0" borderId="0" xfId="0" applyFont="1" applyAlignment="1">
      <alignment vertical="center"/>
    </xf>
    <xf numFmtId="0" fontId="16" fillId="0" borderId="0" xfId="0" applyFont="1" applyAlignment="1">
      <alignment vertical="center" wrapText="1"/>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lignment vertical="center"/>
    </xf>
    <xf numFmtId="0" fontId="9" fillId="0" borderId="20" xfId="0" applyFont="1" applyBorder="1" applyAlignment="1">
      <alignment vertical="center"/>
    </xf>
    <xf numFmtId="0" fontId="8" fillId="0" borderId="14" xfId="0" applyFont="1" applyBorder="1" applyAlignment="1">
      <alignment vertical="center"/>
    </xf>
    <xf numFmtId="0" fontId="8" fillId="0" borderId="16" xfId="0" applyFont="1" applyBorder="1" applyAlignment="1">
      <alignment vertical="center"/>
    </xf>
    <xf numFmtId="0" fontId="8" fillId="0" borderId="5" xfId="0" applyFont="1" applyBorder="1" applyAlignment="1">
      <alignment vertical="center"/>
    </xf>
    <xf numFmtId="0" fontId="8" fillId="0" borderId="0" xfId="0" applyFont="1" applyAlignment="1">
      <alignment vertical="center"/>
    </xf>
    <xf numFmtId="0" fontId="7" fillId="0" borderId="0" xfId="0" applyFont="1" applyAlignment="1">
      <alignment horizontal="right"/>
    </xf>
    <xf numFmtId="0" fontId="5" fillId="0" borderId="8" xfId="0" applyFont="1" applyBorder="1"/>
    <xf numFmtId="0" fontId="5" fillId="0" borderId="15" xfId="0" applyFont="1" applyBorder="1"/>
    <xf numFmtId="0" fontId="7" fillId="0" borderId="14" xfId="0" applyFont="1" applyBorder="1" applyAlignment="1">
      <alignment horizontal="right" vertical="center"/>
    </xf>
    <xf numFmtId="42" fontId="5" fillId="0" borderId="16" xfId="0" applyNumberFormat="1" applyFont="1" applyBorder="1" applyAlignment="1">
      <alignment vertical="center"/>
    </xf>
    <xf numFmtId="0" fontId="5" fillId="0" borderId="5"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horizontal="center" vertical="center"/>
    </xf>
    <xf numFmtId="0" fontId="8" fillId="0" borderId="2" xfId="0" applyFont="1" applyFill="1" applyBorder="1" applyAlignment="1">
      <alignment horizontal="center" vertical="center"/>
    </xf>
    <xf numFmtId="43" fontId="5" fillId="0" borderId="18" xfId="0" applyNumberFormat="1" applyFont="1" applyBorder="1" applyAlignment="1">
      <alignment vertical="center"/>
    </xf>
    <xf numFmtId="0" fontId="5" fillId="0" borderId="18" xfId="0" applyFont="1" applyBorder="1" applyAlignment="1">
      <alignment horizontal="center" vertical="center"/>
    </xf>
    <xf numFmtId="0" fontId="5" fillId="0" borderId="18" xfId="0" applyFont="1" applyBorder="1" applyAlignment="1">
      <alignment horizontal="left" vertical="center"/>
    </xf>
    <xf numFmtId="0" fontId="5" fillId="0" borderId="20" xfId="0" applyFont="1" applyBorder="1" applyAlignment="1">
      <alignment horizontal="center" vertical="center"/>
    </xf>
    <xf numFmtId="0" fontId="5" fillId="0" borderId="0" xfId="0" applyFont="1" applyAlignment="1">
      <alignment horizontal="left" vertical="center"/>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19" xfId="0" applyFont="1" applyBorder="1" applyAlignment="1">
      <alignment horizontal="center" vertical="center"/>
    </xf>
    <xf numFmtId="41" fontId="5" fillId="0" borderId="20" xfId="0" applyNumberFormat="1" applyFont="1" applyBorder="1" applyAlignment="1">
      <alignment vertical="center"/>
    </xf>
    <xf numFmtId="9" fontId="5" fillId="0" borderId="18" xfId="0" applyNumberFormat="1" applyFont="1" applyBorder="1" applyAlignment="1">
      <alignment vertical="center" wrapText="1"/>
    </xf>
    <xf numFmtId="9" fontId="5" fillId="0" borderId="19" xfId="0" applyNumberFormat="1" applyFont="1" applyBorder="1" applyAlignment="1">
      <alignment vertical="center" wrapText="1"/>
    </xf>
    <xf numFmtId="9" fontId="5" fillId="0" borderId="18" xfId="0" applyNumberFormat="1" applyFont="1" applyBorder="1" applyAlignment="1">
      <alignment vertical="center"/>
    </xf>
    <xf numFmtId="9" fontId="5" fillId="0" borderId="19" xfId="0" applyNumberFormat="1" applyFont="1" applyBorder="1" applyAlignment="1">
      <alignment vertical="center"/>
    </xf>
    <xf numFmtId="165" fontId="4" fillId="0" borderId="0" xfId="1" applyNumberFormat="1" applyFont="1"/>
    <xf numFmtId="41" fontId="4" fillId="0" borderId="0" xfId="1" applyNumberFormat="1" applyFont="1"/>
    <xf numFmtId="165" fontId="5" fillId="0" borderId="0" xfId="1" applyNumberFormat="1" applyFont="1" applyAlignment="1">
      <alignment vertical="center"/>
    </xf>
    <xf numFmtId="41" fontId="5" fillId="0" borderId="0" xfId="1" applyNumberFormat="1" applyFont="1" applyAlignment="1">
      <alignment vertical="center"/>
    </xf>
    <xf numFmtId="165" fontId="5" fillId="0" borderId="0" xfId="1" applyNumberFormat="1" applyFont="1" applyAlignment="1">
      <alignment horizontal="right" vertical="center"/>
    </xf>
    <xf numFmtId="165" fontId="5" fillId="0" borderId="0" xfId="1" applyNumberFormat="1" applyFont="1"/>
    <xf numFmtId="41" fontId="5" fillId="0" borderId="0" xfId="1" applyNumberFormat="1" applyFont="1"/>
    <xf numFmtId="165" fontId="8" fillId="0" borderId="0" xfId="1" applyNumberFormat="1" applyFont="1" applyAlignment="1">
      <alignment horizontal="center" wrapText="1"/>
    </xf>
    <xf numFmtId="41" fontId="8" fillId="0" borderId="0" xfId="1" applyNumberFormat="1" applyFont="1" applyAlignment="1">
      <alignment horizontal="center" wrapText="1"/>
    </xf>
    <xf numFmtId="165" fontId="6" fillId="0" borderId="0" xfId="1" applyNumberFormat="1" applyFont="1" applyAlignment="1">
      <alignment vertical="center"/>
    </xf>
    <xf numFmtId="41" fontId="6" fillId="0" borderId="0" xfId="1" applyNumberFormat="1" applyFont="1" applyAlignment="1">
      <alignment vertical="center"/>
    </xf>
    <xf numFmtId="9" fontId="6" fillId="0" borderId="0" xfId="2" applyFont="1" applyAlignment="1">
      <alignment horizontal="center" vertical="center"/>
    </xf>
    <xf numFmtId="41" fontId="5" fillId="0" borderId="15" xfId="0" applyNumberFormat="1" applyFont="1" applyBorder="1" applyAlignment="1">
      <alignment horizontal="center" vertical="center"/>
    </xf>
    <xf numFmtId="165" fontId="6" fillId="0" borderId="0" xfId="1" applyNumberFormat="1" applyFont="1"/>
    <xf numFmtId="164" fontId="11" fillId="0" borderId="0" xfId="0" applyNumberFormat="1" applyFont="1" applyAlignment="1">
      <alignment horizontal="center"/>
    </xf>
    <xf numFmtId="0" fontId="5" fillId="0" borderId="0" xfId="0" applyFont="1" applyAlignment="1">
      <alignment horizontal="center"/>
    </xf>
    <xf numFmtId="0" fontId="20" fillId="0" borderId="0" xfId="0" applyFont="1" applyAlignment="1">
      <alignment vertical="center" wrapText="1"/>
    </xf>
    <xf numFmtId="0" fontId="11" fillId="0" borderId="0" xfId="0" applyFont="1" applyAlignment="1">
      <alignment horizontal="center"/>
    </xf>
    <xf numFmtId="164" fontId="11" fillId="0" borderId="0" xfId="0" applyNumberFormat="1" applyFont="1" applyAlignment="1">
      <alignment horizontal="center"/>
    </xf>
    <xf numFmtId="0" fontId="9" fillId="2" borderId="14"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5" xfId="0" applyFont="1" applyFill="1" applyBorder="1" applyAlignment="1">
      <alignment horizontal="center" vertical="center"/>
    </xf>
    <xf numFmtId="0" fontId="6" fillId="0" borderId="17" xfId="0" applyFont="1" applyBorder="1" applyAlignment="1">
      <alignment horizontal="center" vertical="center"/>
    </xf>
    <xf numFmtId="0" fontId="8" fillId="0" borderId="8" xfId="0" applyFont="1" applyBorder="1" applyAlignment="1">
      <alignment horizontal="center" vertical="center"/>
    </xf>
    <xf numFmtId="0" fontId="5" fillId="0" borderId="17" xfId="0" applyFont="1" applyBorder="1" applyAlignment="1">
      <alignment horizontal="center"/>
    </xf>
    <xf numFmtId="0" fontId="22" fillId="0" borderId="17" xfId="0" applyFont="1" applyBorder="1" applyAlignment="1">
      <alignment horizontal="center" vertical="center"/>
    </xf>
    <xf numFmtId="0" fontId="22" fillId="0" borderId="0" xfId="0" applyFont="1" applyBorder="1" applyAlignment="1">
      <alignment horizontal="center" vertical="center"/>
    </xf>
    <xf numFmtId="0" fontId="8" fillId="0" borderId="0" xfId="0" applyFont="1" applyBorder="1" applyAlignment="1">
      <alignment horizontal="center" vertical="center"/>
    </xf>
    <xf numFmtId="0" fontId="5" fillId="0" borderId="0" xfId="0" applyFont="1" applyAlignment="1">
      <alignment horizontal="center"/>
    </xf>
  </cellXfs>
  <cellStyles count="3">
    <cellStyle name="Comma 2" xfId="1"/>
    <cellStyle name="Normal" xfId="0" builtinId="0"/>
    <cellStyle name="Percent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
  <sheetViews>
    <sheetView tabSelected="1" workbookViewId="0">
      <selection activeCell="A45" sqref="A45"/>
    </sheetView>
  </sheetViews>
  <sheetFormatPr defaultColWidth="8.85546875" defaultRowHeight="15" x14ac:dyDescent="0.25"/>
  <cols>
    <col min="1" max="1" width="3.7109375" style="110" customWidth="1"/>
    <col min="2" max="2" width="3.85546875" style="118" customWidth="1"/>
    <col min="3" max="3" width="115.28515625" style="106" customWidth="1"/>
    <col min="4" max="4" width="0.7109375" style="109" customWidth="1"/>
    <col min="5" max="7" width="15.7109375" style="109" customWidth="1"/>
    <col min="8" max="10" width="8.85546875" style="106"/>
    <col min="11" max="11" width="10.28515625" style="106" customWidth="1"/>
    <col min="12" max="12" width="0.28515625" style="106" hidden="1" customWidth="1"/>
    <col min="13" max="13" width="0" style="106" hidden="1" customWidth="1"/>
    <col min="14" max="16384" width="8.85546875" style="106"/>
  </cols>
  <sheetData>
    <row r="1" spans="1:16" s="63" customFormat="1" ht="23.45" customHeight="1" x14ac:dyDescent="0.35">
      <c r="A1" s="184" t="s">
        <v>65</v>
      </c>
      <c r="B1" s="184"/>
      <c r="C1" s="184"/>
      <c r="D1" s="108"/>
      <c r="E1" s="108"/>
      <c r="F1" s="108"/>
      <c r="G1" s="108"/>
      <c r="H1" s="108"/>
      <c r="I1" s="108"/>
      <c r="J1" s="108"/>
      <c r="K1" s="108"/>
      <c r="L1" s="108"/>
      <c r="M1" s="108"/>
    </row>
    <row r="2" spans="1:16" ht="21" customHeight="1" x14ac:dyDescent="0.35">
      <c r="A2" s="185">
        <v>42826</v>
      </c>
      <c r="B2" s="185"/>
      <c r="C2" s="185"/>
    </row>
    <row r="3" spans="1:16" ht="21" customHeight="1" x14ac:dyDescent="0.35">
      <c r="A3" s="181"/>
      <c r="B3" s="181"/>
      <c r="C3" s="181"/>
    </row>
    <row r="4" spans="1:16" s="117" customFormat="1" ht="24" customHeight="1" x14ac:dyDescent="0.25">
      <c r="A4" s="114" t="s">
        <v>81</v>
      </c>
      <c r="B4" s="114" t="s">
        <v>172</v>
      </c>
      <c r="C4" s="115"/>
      <c r="D4" s="116"/>
      <c r="E4" s="116"/>
      <c r="F4" s="116"/>
      <c r="G4" s="116"/>
    </row>
    <row r="5" spans="1:16" s="112" customFormat="1" ht="31.15" customHeight="1" x14ac:dyDescent="0.25">
      <c r="A5" s="122"/>
      <c r="B5" s="122" t="s">
        <v>69</v>
      </c>
      <c r="C5" s="120" t="s">
        <v>174</v>
      </c>
      <c r="D5" s="121"/>
      <c r="E5" s="121"/>
      <c r="F5" s="121"/>
      <c r="G5" s="121"/>
      <c r="H5" s="121"/>
      <c r="I5" s="121"/>
      <c r="J5" s="121"/>
      <c r="K5" s="122"/>
      <c r="L5" s="122"/>
      <c r="M5" s="122"/>
      <c r="N5" s="122"/>
      <c r="O5" s="122"/>
      <c r="P5" s="122"/>
    </row>
    <row r="6" spans="1:16" s="112" customFormat="1" ht="18" customHeight="1" x14ac:dyDescent="0.25">
      <c r="A6" s="122"/>
      <c r="B6" s="122" t="s">
        <v>70</v>
      </c>
      <c r="C6" s="120" t="s">
        <v>82</v>
      </c>
      <c r="D6" s="121"/>
      <c r="E6" s="121"/>
      <c r="F6" s="121"/>
      <c r="G6" s="121"/>
      <c r="H6" s="121"/>
      <c r="I6" s="121"/>
      <c r="J6" s="121"/>
      <c r="K6" s="122"/>
      <c r="L6" s="122"/>
      <c r="M6" s="122"/>
      <c r="N6" s="122"/>
      <c r="O6" s="122"/>
      <c r="P6" s="122"/>
    </row>
    <row r="7" spans="1:16" s="112" customFormat="1" ht="30" customHeight="1" x14ac:dyDescent="0.25">
      <c r="A7" s="122"/>
      <c r="B7" s="122" t="s">
        <v>71</v>
      </c>
      <c r="C7" s="120" t="s">
        <v>173</v>
      </c>
      <c r="D7" s="121"/>
      <c r="E7" s="121"/>
      <c r="F7" s="121"/>
      <c r="G7" s="121"/>
      <c r="H7" s="121"/>
      <c r="I7" s="121"/>
      <c r="J7" s="121"/>
      <c r="K7" s="121"/>
      <c r="L7" s="121"/>
      <c r="M7" s="121"/>
      <c r="N7" s="121"/>
      <c r="O7" s="121"/>
      <c r="P7" s="121"/>
    </row>
    <row r="8" spans="1:16" s="112" customFormat="1" ht="18" customHeight="1" x14ac:dyDescent="0.25">
      <c r="A8" s="122"/>
      <c r="B8" s="122" t="s">
        <v>72</v>
      </c>
      <c r="C8" s="120" t="s">
        <v>83</v>
      </c>
      <c r="D8" s="121"/>
      <c r="E8" s="121"/>
      <c r="F8" s="121"/>
      <c r="G8" s="121"/>
      <c r="H8" s="121"/>
      <c r="I8" s="121"/>
      <c r="J8" s="121"/>
      <c r="K8" s="122"/>
      <c r="L8" s="122"/>
      <c r="M8" s="122"/>
      <c r="N8" s="122"/>
      <c r="O8" s="122"/>
      <c r="P8" s="122"/>
    </row>
    <row r="9" spans="1:16" s="112" customFormat="1" ht="18" customHeight="1" x14ac:dyDescent="0.25">
      <c r="A9" s="122"/>
      <c r="B9" s="122" t="s">
        <v>73</v>
      </c>
      <c r="C9" s="120" t="s">
        <v>84</v>
      </c>
      <c r="D9" s="121"/>
      <c r="E9" s="121"/>
      <c r="F9" s="121"/>
      <c r="G9" s="121"/>
      <c r="H9" s="121"/>
      <c r="I9" s="121"/>
      <c r="J9" s="121"/>
      <c r="K9" s="122"/>
      <c r="L9" s="122"/>
      <c r="M9" s="122"/>
      <c r="N9" s="122"/>
      <c r="O9" s="122"/>
      <c r="P9" s="122"/>
    </row>
    <row r="10" spans="1:16" s="112" customFormat="1" ht="18" customHeight="1" x14ac:dyDescent="0.25">
      <c r="A10" s="122"/>
      <c r="B10" s="122" t="s">
        <v>74</v>
      </c>
      <c r="C10" s="120" t="s">
        <v>85</v>
      </c>
      <c r="D10" s="121"/>
      <c r="E10" s="121"/>
      <c r="F10" s="121"/>
      <c r="G10" s="121"/>
      <c r="H10" s="121"/>
      <c r="I10" s="121"/>
      <c r="J10" s="121"/>
      <c r="K10" s="121"/>
      <c r="L10" s="122"/>
      <c r="M10" s="122"/>
      <c r="N10" s="122"/>
      <c r="O10" s="122"/>
      <c r="P10" s="122"/>
    </row>
    <row r="11" spans="1:16" s="112" customFormat="1" ht="18" customHeight="1" x14ac:dyDescent="0.25">
      <c r="A11" s="122"/>
      <c r="B11" s="122" t="s">
        <v>75</v>
      </c>
      <c r="C11" s="120" t="s">
        <v>86</v>
      </c>
      <c r="D11" s="121"/>
      <c r="E11" s="121"/>
      <c r="F11" s="121"/>
      <c r="G11" s="121"/>
      <c r="H11" s="121"/>
      <c r="I11" s="121"/>
      <c r="J11" s="121"/>
      <c r="K11" s="122"/>
      <c r="L11" s="122"/>
      <c r="M11" s="122"/>
      <c r="N11" s="122"/>
      <c r="O11" s="122"/>
      <c r="P11" s="122"/>
    </row>
    <row r="12" spans="1:16" ht="15.75" x14ac:dyDescent="0.25">
      <c r="D12" s="61"/>
    </row>
    <row r="13" spans="1:16" s="117" customFormat="1" ht="22.15" customHeight="1" x14ac:dyDescent="0.25">
      <c r="A13" s="114" t="s">
        <v>78</v>
      </c>
      <c r="B13" s="114" t="s">
        <v>66</v>
      </c>
      <c r="E13" s="116"/>
      <c r="F13" s="116"/>
      <c r="G13" s="116"/>
    </row>
    <row r="14" spans="1:16" ht="18" customHeight="1" x14ac:dyDescent="0.25">
      <c r="B14" s="118" t="s">
        <v>69</v>
      </c>
      <c r="C14" s="120" t="s">
        <v>87</v>
      </c>
      <c r="D14" s="106"/>
    </row>
    <row r="15" spans="1:16" ht="18" customHeight="1" x14ac:dyDescent="0.25">
      <c r="B15" s="118" t="s">
        <v>70</v>
      </c>
      <c r="C15" s="112" t="s">
        <v>175</v>
      </c>
      <c r="D15" s="106"/>
    </row>
    <row r="16" spans="1:16" ht="18" customHeight="1" x14ac:dyDescent="0.25">
      <c r="B16" s="118" t="s">
        <v>71</v>
      </c>
      <c r="C16" s="112" t="s">
        <v>176</v>
      </c>
      <c r="D16" s="106"/>
    </row>
    <row r="17" spans="1:7" ht="28.15" customHeight="1" x14ac:dyDescent="0.25">
      <c r="B17" s="118" t="s">
        <v>72</v>
      </c>
      <c r="C17" s="112" t="s">
        <v>76</v>
      </c>
      <c r="D17" s="106"/>
    </row>
    <row r="18" spans="1:7" ht="18" customHeight="1" x14ac:dyDescent="0.25">
      <c r="B18" s="118" t="s">
        <v>73</v>
      </c>
      <c r="C18" s="111" t="s">
        <v>77</v>
      </c>
      <c r="D18" s="106"/>
    </row>
    <row r="19" spans="1:7" ht="16.149999999999999" customHeight="1" x14ac:dyDescent="0.25">
      <c r="C19" s="111" t="s">
        <v>149</v>
      </c>
      <c r="D19" s="106"/>
    </row>
    <row r="20" spans="1:7" ht="16.149999999999999" customHeight="1" x14ac:dyDescent="0.25">
      <c r="C20" s="111" t="s">
        <v>150</v>
      </c>
      <c r="D20" s="106"/>
    </row>
    <row r="21" spans="1:7" s="60" customFormat="1" ht="18" customHeight="1" x14ac:dyDescent="0.25">
      <c r="A21" s="107"/>
      <c r="B21" s="113" t="s">
        <v>74</v>
      </c>
      <c r="C21" s="111" t="s">
        <v>151</v>
      </c>
      <c r="D21" s="62"/>
      <c r="E21" s="62"/>
      <c r="F21" s="62"/>
      <c r="G21" s="62"/>
    </row>
    <row r="23" spans="1:7" ht="15.75" x14ac:dyDescent="0.25">
      <c r="C23" s="64" t="s">
        <v>68</v>
      </c>
    </row>
    <row r="24" spans="1:7" ht="28.15" customHeight="1" x14ac:dyDescent="0.25">
      <c r="C24" s="64"/>
    </row>
    <row r="25" spans="1:7" s="125" customFormat="1" ht="22.15" customHeight="1" x14ac:dyDescent="0.25">
      <c r="A25" s="114" t="s">
        <v>79</v>
      </c>
      <c r="B25" s="114" t="s">
        <v>88</v>
      </c>
      <c r="C25" s="123"/>
      <c r="D25" s="124"/>
      <c r="E25" s="124"/>
      <c r="F25" s="124"/>
      <c r="G25" s="124"/>
    </row>
    <row r="26" spans="1:7" s="129" customFormat="1" ht="18" customHeight="1" x14ac:dyDescent="0.25">
      <c r="A26" s="126"/>
      <c r="B26" s="118" t="s">
        <v>69</v>
      </c>
      <c r="C26" s="127" t="s">
        <v>153</v>
      </c>
      <c r="D26" s="128"/>
      <c r="E26" s="128"/>
      <c r="F26" s="128"/>
      <c r="G26" s="128"/>
    </row>
    <row r="27" spans="1:7" s="129" customFormat="1" ht="18" customHeight="1" x14ac:dyDescent="0.25">
      <c r="A27" s="126"/>
      <c r="B27" s="118" t="s">
        <v>70</v>
      </c>
      <c r="C27" s="119" t="s">
        <v>177</v>
      </c>
      <c r="D27" s="128"/>
      <c r="E27" s="128"/>
      <c r="F27" s="128"/>
      <c r="G27" s="128"/>
    </row>
    <row r="28" spans="1:7" s="129" customFormat="1" ht="18" customHeight="1" x14ac:dyDescent="0.25">
      <c r="A28" s="126"/>
      <c r="B28" s="118" t="s">
        <v>71</v>
      </c>
      <c r="C28" s="127" t="s">
        <v>152</v>
      </c>
      <c r="D28" s="128"/>
      <c r="E28" s="128"/>
      <c r="F28" s="128"/>
      <c r="G28" s="128"/>
    </row>
    <row r="29" spans="1:7" ht="18" customHeight="1" x14ac:dyDescent="0.25">
      <c r="B29" s="118" t="s">
        <v>72</v>
      </c>
      <c r="C29" s="111" t="s">
        <v>148</v>
      </c>
      <c r="D29" s="106"/>
    </row>
    <row r="30" spans="1:7" ht="18" customHeight="1" x14ac:dyDescent="0.25"/>
    <row r="31" spans="1:7" s="132" customFormat="1" ht="22.15" customHeight="1" x14ac:dyDescent="0.25">
      <c r="A31" s="114" t="s">
        <v>80</v>
      </c>
      <c r="B31" s="114" t="s">
        <v>67</v>
      </c>
      <c r="C31" s="130"/>
      <c r="D31" s="131"/>
      <c r="E31" s="131"/>
      <c r="F31" s="131"/>
      <c r="G31" s="131"/>
    </row>
    <row r="32" spans="1:7" s="117" customFormat="1" ht="18" customHeight="1" x14ac:dyDescent="0.25">
      <c r="A32" s="133"/>
      <c r="B32" s="134" t="s">
        <v>40</v>
      </c>
      <c r="D32" s="116"/>
      <c r="E32" s="116"/>
      <c r="F32" s="116"/>
      <c r="G32" s="116"/>
    </row>
    <row r="33" spans="1:7" s="117" customFormat="1" ht="18" customHeight="1" x14ac:dyDescent="0.25">
      <c r="A33" s="133"/>
      <c r="B33" s="133" t="s">
        <v>69</v>
      </c>
      <c r="C33" s="117" t="s">
        <v>178</v>
      </c>
      <c r="D33" s="116"/>
      <c r="E33" s="116"/>
      <c r="F33" s="116"/>
      <c r="G33" s="116"/>
    </row>
    <row r="34" spans="1:7" s="117" customFormat="1" ht="18" customHeight="1" x14ac:dyDescent="0.25">
      <c r="A34" s="133"/>
      <c r="B34" s="133" t="s">
        <v>70</v>
      </c>
      <c r="C34" s="117" t="s">
        <v>179</v>
      </c>
      <c r="D34" s="116"/>
      <c r="E34" s="116"/>
      <c r="F34" s="116"/>
      <c r="G34" s="116"/>
    </row>
    <row r="35" spans="1:7" s="117" customFormat="1" ht="18" customHeight="1" x14ac:dyDescent="0.25">
      <c r="A35" s="133"/>
      <c r="B35" s="133"/>
      <c r="C35" s="135" t="s">
        <v>90</v>
      </c>
      <c r="D35" s="116"/>
      <c r="E35" s="116"/>
      <c r="F35" s="116"/>
      <c r="G35" s="116"/>
    </row>
    <row r="36" spans="1:7" s="117" customFormat="1" ht="18" customHeight="1" x14ac:dyDescent="0.25">
      <c r="A36" s="133"/>
      <c r="B36" s="133"/>
      <c r="C36" s="135"/>
      <c r="D36" s="116"/>
      <c r="E36" s="116"/>
      <c r="F36" s="116"/>
      <c r="G36" s="116"/>
    </row>
    <row r="37" spans="1:7" s="117" customFormat="1" ht="18" customHeight="1" x14ac:dyDescent="0.25">
      <c r="A37" s="115"/>
      <c r="B37" s="134" t="s">
        <v>39</v>
      </c>
      <c r="D37" s="116"/>
      <c r="E37" s="116"/>
      <c r="F37" s="116"/>
      <c r="G37" s="116"/>
    </row>
    <row r="38" spans="1:7" s="117" customFormat="1" ht="18" customHeight="1" x14ac:dyDescent="0.25">
      <c r="A38" s="133"/>
      <c r="B38" s="133" t="s">
        <v>69</v>
      </c>
      <c r="C38" s="117" t="s">
        <v>154</v>
      </c>
      <c r="D38" s="116"/>
      <c r="E38" s="116"/>
      <c r="F38" s="116"/>
      <c r="G38" s="116"/>
    </row>
    <row r="39" spans="1:7" s="139" customFormat="1" ht="30" x14ac:dyDescent="0.25">
      <c r="A39" s="137"/>
      <c r="B39" s="137" t="s">
        <v>70</v>
      </c>
      <c r="C39" s="183" t="s">
        <v>180</v>
      </c>
      <c r="D39" s="138"/>
      <c r="E39" s="138"/>
      <c r="F39" s="138"/>
      <c r="G39" s="138"/>
    </row>
    <row r="40" spans="1:7" s="117" customFormat="1" ht="18" customHeight="1" x14ac:dyDescent="0.25">
      <c r="A40" s="133"/>
      <c r="B40" s="133" t="s">
        <v>71</v>
      </c>
      <c r="C40" s="139" t="s">
        <v>91</v>
      </c>
      <c r="D40" s="116"/>
      <c r="E40" s="116"/>
      <c r="F40" s="116"/>
      <c r="G40" s="116"/>
    </row>
    <row r="41" spans="1:7" s="117" customFormat="1" ht="18" customHeight="1" x14ac:dyDescent="0.25">
      <c r="A41" s="133"/>
      <c r="B41" s="133"/>
      <c r="C41" s="117" t="s">
        <v>89</v>
      </c>
      <c r="D41" s="116"/>
      <c r="E41" s="116"/>
      <c r="F41" s="116"/>
      <c r="G41" s="116"/>
    </row>
    <row r="42" spans="1:7" s="117" customFormat="1" ht="18" customHeight="1" x14ac:dyDescent="0.25">
      <c r="A42" s="133"/>
      <c r="B42" s="133"/>
      <c r="C42" s="134" t="s">
        <v>41</v>
      </c>
      <c r="D42" s="116"/>
      <c r="E42" s="116"/>
      <c r="F42" s="116"/>
      <c r="G42" s="116"/>
    </row>
    <row r="43" spans="1:7" s="117" customFormat="1" ht="33" customHeight="1" x14ac:dyDescent="0.25">
      <c r="A43" s="133"/>
      <c r="B43" s="133"/>
      <c r="C43" s="136" t="s">
        <v>42</v>
      </c>
      <c r="D43" s="116"/>
      <c r="E43" s="116"/>
      <c r="F43" s="116"/>
      <c r="G43" s="116"/>
    </row>
    <row r="44" spans="1:7" s="117" customFormat="1" ht="18" customHeight="1" x14ac:dyDescent="0.25">
      <c r="A44" s="133"/>
      <c r="B44" s="133"/>
      <c r="D44" s="116"/>
      <c r="E44" s="116"/>
      <c r="F44" s="116"/>
      <c r="G44" s="116"/>
    </row>
  </sheetData>
  <mergeCells count="2">
    <mergeCell ref="A1:C1"/>
    <mergeCell ref="A2:C2"/>
  </mergeCells>
  <pageMargins left="0.62" right="0.4"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4"/>
  <sheetViews>
    <sheetView topLeftCell="A71" zoomScaleNormal="100" workbookViewId="0">
      <selection activeCell="B24" sqref="B24"/>
    </sheetView>
  </sheetViews>
  <sheetFormatPr defaultColWidth="8.85546875" defaultRowHeight="13.9" customHeight="1" x14ac:dyDescent="0.2"/>
  <cols>
    <col min="1" max="1" width="40.7109375" style="2" customWidth="1"/>
    <col min="2" max="2" width="11.7109375" style="7" customWidth="1"/>
    <col min="3" max="11" width="11.7109375" style="2" customWidth="1"/>
    <col min="12" max="12" width="40.5703125" style="2" customWidth="1"/>
    <col min="13" max="22" width="11.7109375" style="2" customWidth="1"/>
    <col min="23" max="23" width="1.85546875" style="2" customWidth="1"/>
    <col min="24" max="24" width="12.42578125" style="2" customWidth="1"/>
    <col min="25" max="16384" width="8.85546875" style="2"/>
  </cols>
  <sheetData>
    <row r="1" spans="1:24" s="1" customFormat="1" ht="15" customHeight="1" x14ac:dyDescent="0.2">
      <c r="A1" s="186" t="s">
        <v>5</v>
      </c>
      <c r="B1" s="187"/>
      <c r="C1" s="187"/>
      <c r="D1" s="187"/>
      <c r="E1" s="187"/>
      <c r="F1" s="187"/>
      <c r="G1" s="187"/>
      <c r="H1" s="187"/>
      <c r="I1" s="187"/>
      <c r="J1" s="187"/>
      <c r="K1" s="187"/>
      <c r="L1" s="187" t="s">
        <v>5</v>
      </c>
      <c r="M1" s="187"/>
      <c r="N1" s="187"/>
      <c r="O1" s="187"/>
      <c r="P1" s="187"/>
      <c r="Q1" s="187"/>
      <c r="R1" s="187"/>
      <c r="S1" s="187"/>
      <c r="T1" s="187"/>
      <c r="U1" s="187"/>
      <c r="V1" s="188"/>
    </row>
    <row r="2" spans="1:24" s="8" customFormat="1" ht="13.9" customHeight="1" x14ac:dyDescent="0.2">
      <c r="A2" s="14"/>
      <c r="B2" s="13" t="s">
        <v>9</v>
      </c>
      <c r="C2" s="9" t="s">
        <v>10</v>
      </c>
      <c r="D2" s="9" t="s">
        <v>11</v>
      </c>
      <c r="E2" s="9" t="s">
        <v>12</v>
      </c>
      <c r="F2" s="9" t="s">
        <v>13</v>
      </c>
      <c r="G2" s="9" t="s">
        <v>16</v>
      </c>
      <c r="H2" s="9" t="s">
        <v>17</v>
      </c>
      <c r="I2" s="9" t="s">
        <v>18</v>
      </c>
      <c r="J2" s="9" t="s">
        <v>19</v>
      </c>
      <c r="K2" s="46" t="s">
        <v>20</v>
      </c>
      <c r="L2" s="14"/>
      <c r="M2" s="13" t="s">
        <v>28</v>
      </c>
      <c r="N2" s="9" t="s">
        <v>29</v>
      </c>
      <c r="O2" s="9" t="s">
        <v>30</v>
      </c>
      <c r="P2" s="9" t="s">
        <v>31</v>
      </c>
      <c r="Q2" s="9" t="s">
        <v>32</v>
      </c>
      <c r="R2" s="9" t="s">
        <v>33</v>
      </c>
      <c r="S2" s="9" t="s">
        <v>34</v>
      </c>
      <c r="T2" s="9" t="s">
        <v>35</v>
      </c>
      <c r="U2" s="9" t="s">
        <v>36</v>
      </c>
      <c r="V2" s="9" t="s">
        <v>37</v>
      </c>
    </row>
    <row r="3" spans="1:24" s="3" customFormat="1" ht="12" customHeight="1" x14ac:dyDescent="0.25">
      <c r="A3" s="15" t="s">
        <v>134</v>
      </c>
      <c r="K3" s="66"/>
      <c r="L3" s="15" t="s">
        <v>24</v>
      </c>
      <c r="V3" s="16"/>
    </row>
    <row r="4" spans="1:24" ht="12" customHeight="1" x14ac:dyDescent="0.2">
      <c r="A4" s="16" t="s">
        <v>4</v>
      </c>
      <c r="B4" s="11">
        <f t="shared" ref="B4:K4" si="0">SUM(B6*B54)</f>
        <v>45859920</v>
      </c>
      <c r="C4" s="11">
        <f t="shared" si="0"/>
        <v>48180431.952</v>
      </c>
      <c r="D4" s="11">
        <f t="shared" si="0"/>
        <v>50618361.808771208</v>
      </c>
      <c r="E4" s="11">
        <f t="shared" si="0"/>
        <v>52663343.625845566</v>
      </c>
      <c r="F4" s="11">
        <f t="shared" si="0"/>
        <v>54790942.70832973</v>
      </c>
      <c r="G4" s="11">
        <f t="shared" si="0"/>
        <v>65555171.312808186</v>
      </c>
      <c r="H4" s="11">
        <f t="shared" si="0"/>
        <v>67534937.486455008</v>
      </c>
      <c r="I4" s="11">
        <f t="shared" si="0"/>
        <v>69574492.598545954</v>
      </c>
      <c r="J4" s="11">
        <f t="shared" si="0"/>
        <v>71675642.275022045</v>
      </c>
      <c r="K4" s="11">
        <f t="shared" si="0"/>
        <v>73840246.671727702</v>
      </c>
      <c r="L4" s="16" t="s">
        <v>4</v>
      </c>
      <c r="M4" s="11">
        <f t="shared" ref="M4:V4" si="1">SUM(M6*M54)</f>
        <v>76070222.121213883</v>
      </c>
      <c r="N4" s="11">
        <f t="shared" si="1"/>
        <v>78367542.829274535</v>
      </c>
      <c r="O4" s="11">
        <f t="shared" si="1"/>
        <v>80734242.622718632</v>
      </c>
      <c r="P4" s="11">
        <f t="shared" si="1"/>
        <v>83172416.749924734</v>
      </c>
      <c r="Q4" s="11">
        <f t="shared" si="1"/>
        <v>85684223.735772461</v>
      </c>
      <c r="R4" s="11">
        <f t="shared" si="1"/>
        <v>101512670.38648172</v>
      </c>
      <c r="S4" s="11">
        <f t="shared" si="1"/>
        <v>104578353.03215349</v>
      </c>
      <c r="T4" s="11">
        <f t="shared" si="1"/>
        <v>107736619.29372452</v>
      </c>
      <c r="U4" s="11">
        <f t="shared" si="1"/>
        <v>110990265.19639499</v>
      </c>
      <c r="V4" s="38">
        <f t="shared" si="1"/>
        <v>114342171.20532613</v>
      </c>
    </row>
    <row r="5" spans="1:24" ht="12" customHeight="1" x14ac:dyDescent="0.2">
      <c r="A5" s="16" t="s">
        <v>6</v>
      </c>
      <c r="B5" s="20">
        <f t="shared" ref="B5:M5" si="2">SUM(B6-B4)</f>
        <v>14482080</v>
      </c>
      <c r="C5" s="20">
        <f t="shared" si="2"/>
        <v>13368408.048</v>
      </c>
      <c r="D5" s="20">
        <f t="shared" si="2"/>
        <v>12161454.991228797</v>
      </c>
      <c r="E5" s="20">
        <f t="shared" si="2"/>
        <v>11372069.510154434</v>
      </c>
      <c r="F5" s="20">
        <f t="shared" si="2"/>
        <v>10525178.690390266</v>
      </c>
      <c r="G5" s="20">
        <f t="shared" si="2"/>
        <v>11060639.087890372</v>
      </c>
      <c r="H5" s="20">
        <f t="shared" si="2"/>
        <v>10613189.122257531</v>
      </c>
      <c r="I5" s="20">
        <f t="shared" si="2"/>
        <v>10136596.542340845</v>
      </c>
      <c r="J5" s="20">
        <f t="shared" si="2"/>
        <v>9629668.64868249</v>
      </c>
      <c r="K5" s="20">
        <f t="shared" si="2"/>
        <v>9091170.4704509228</v>
      </c>
      <c r="L5" s="16" t="s">
        <v>6</v>
      </c>
      <c r="M5" s="20">
        <f t="shared" si="2"/>
        <v>8519823.363808319</v>
      </c>
      <c r="N5" s="20">
        <f t="shared" ref="N5:V5" si="3">SUM(N6-N4)</f>
        <v>7914303.5654481053</v>
      </c>
      <c r="O5" s="20">
        <f t="shared" si="3"/>
        <v>7273240.6998984665</v>
      </c>
      <c r="P5" s="20">
        <f t="shared" si="3"/>
        <v>6595216.2391446978</v>
      </c>
      <c r="Q5" s="20">
        <f t="shared" si="3"/>
        <v>5878761.9130783677</v>
      </c>
      <c r="R5" s="20">
        <f t="shared" si="3"/>
        <v>5890711.7796203047</v>
      </c>
      <c r="S5" s="20">
        <f t="shared" si="3"/>
        <v>4973096.7772705853</v>
      </c>
      <c r="T5" s="20">
        <f t="shared" si="3"/>
        <v>4005859.5118880272</v>
      </c>
      <c r="U5" s="20">
        <f t="shared" si="3"/>
        <v>2987063.1853298098</v>
      </c>
      <c r="V5" s="43">
        <f t="shared" si="3"/>
        <v>1914703.7440331727</v>
      </c>
    </row>
    <row r="6" spans="1:24" s="3" customFormat="1" ht="12" customHeight="1" x14ac:dyDescent="0.25">
      <c r="A6" s="24" t="s">
        <v>25</v>
      </c>
      <c r="B6" s="25">
        <f t="shared" ref="B6:M6" si="4">SUM(B50*B51)</f>
        <v>60342000</v>
      </c>
      <c r="C6" s="25">
        <f t="shared" si="4"/>
        <v>61548840</v>
      </c>
      <c r="D6" s="25">
        <f t="shared" si="4"/>
        <v>62779816.800000004</v>
      </c>
      <c r="E6" s="25">
        <f t="shared" si="4"/>
        <v>64035413.136</v>
      </c>
      <c r="F6" s="25">
        <f t="shared" si="4"/>
        <v>65316121.398719996</v>
      </c>
      <c r="G6" s="25">
        <f t="shared" si="4"/>
        <v>76615810.400698557</v>
      </c>
      <c r="H6" s="25">
        <f t="shared" si="4"/>
        <v>78148126.608712539</v>
      </c>
      <c r="I6" s="25">
        <f t="shared" si="4"/>
        <v>79711089.140886799</v>
      </c>
      <c r="J6" s="25">
        <f t="shared" si="4"/>
        <v>81305310.923704535</v>
      </c>
      <c r="K6" s="67">
        <f t="shared" si="4"/>
        <v>82931417.142178625</v>
      </c>
      <c r="L6" s="24" t="s">
        <v>25</v>
      </c>
      <c r="M6" s="25">
        <f t="shared" si="4"/>
        <v>84590045.485022202</v>
      </c>
      <c r="N6" s="25">
        <f t="shared" ref="N6:V6" si="5">SUM(N50*N51)</f>
        <v>86281846.394722641</v>
      </c>
      <c r="O6" s="25">
        <f t="shared" si="5"/>
        <v>88007483.322617099</v>
      </c>
      <c r="P6" s="25">
        <f t="shared" si="5"/>
        <v>89767632.989069432</v>
      </c>
      <c r="Q6" s="25">
        <f t="shared" si="5"/>
        <v>91562985.648850828</v>
      </c>
      <c r="R6" s="25">
        <f t="shared" si="5"/>
        <v>107403382.16610202</v>
      </c>
      <c r="S6" s="25">
        <f t="shared" si="5"/>
        <v>109551449.80942407</v>
      </c>
      <c r="T6" s="25">
        <f t="shared" si="5"/>
        <v>111742478.80561255</v>
      </c>
      <c r="U6" s="25">
        <f t="shared" si="5"/>
        <v>113977328.3817248</v>
      </c>
      <c r="V6" s="35">
        <f t="shared" si="5"/>
        <v>116256874.9493593</v>
      </c>
    </row>
    <row r="7" spans="1:24" ht="12" customHeight="1" x14ac:dyDescent="0.2">
      <c r="A7" s="16" t="s">
        <v>145</v>
      </c>
      <c r="B7" s="11">
        <f>SUM(((B50*B55)/2)*B60)</f>
        <v>10680000</v>
      </c>
      <c r="C7" s="11">
        <f>SUM(((C50*C55)/2)*C60)</f>
        <v>9858707.9999999981</v>
      </c>
      <c r="D7" s="11">
        <f t="shared" ref="D7:K7" si="6">SUM(((D50*D55)/2)*D60)</f>
        <v>8968624.6247999948</v>
      </c>
      <c r="E7" s="11">
        <f t="shared" si="6"/>
        <v>8386481.9396419125</v>
      </c>
      <c r="F7" s="11">
        <f t="shared" si="6"/>
        <v>7761931.1876034439</v>
      </c>
      <c r="G7" s="11">
        <f t="shared" si="6"/>
        <v>7092881.292734622</v>
      </c>
      <c r="H7" s="11">
        <f t="shared" si="6"/>
        <v>6805944.0312027279</v>
      </c>
      <c r="I7" s="11">
        <f t="shared" si="6"/>
        <v>6500318.4188411236</v>
      </c>
      <c r="J7" s="11">
        <f t="shared" si="6"/>
        <v>6175239.6105441153</v>
      </c>
      <c r="K7" s="11">
        <f t="shared" si="6"/>
        <v>5829915.6537456214</v>
      </c>
      <c r="L7" s="16" t="s">
        <v>145</v>
      </c>
      <c r="M7" s="11">
        <f t="shared" ref="M7:V7" si="7">SUM(((M50*M55)/2)*M60)</f>
        <v>5463526.5895910738</v>
      </c>
      <c r="N7" s="11">
        <f t="shared" si="7"/>
        <v>5075223.525361103</v>
      </c>
      <c r="O7" s="11">
        <f t="shared" si="7"/>
        <v>4664127.6772466777</v>
      </c>
      <c r="P7" s="11">
        <f t="shared" si="7"/>
        <v>4229329.3825475853</v>
      </c>
      <c r="Q7" s="11">
        <f t="shared" si="7"/>
        <v>3769887.0803375426</v>
      </c>
      <c r="R7" s="11">
        <f t="shared" si="7"/>
        <v>3284826.2596094962</v>
      </c>
      <c r="S7" s="11">
        <f t="shared" si="7"/>
        <v>2773138.3738843771</v>
      </c>
      <c r="T7" s="11">
        <f t="shared" si="7"/>
        <v>2233779.7212350536</v>
      </c>
      <c r="U7" s="11">
        <f t="shared" si="7"/>
        <v>1665670.2886449108</v>
      </c>
      <c r="V7" s="179">
        <f t="shared" si="7"/>
        <v>1067692.559587115</v>
      </c>
    </row>
    <row r="8" spans="1:24" s="27" customFormat="1" ht="16.149999999999999" customHeight="1" x14ac:dyDescent="0.2">
      <c r="A8" s="65" t="s">
        <v>26</v>
      </c>
      <c r="B8" s="26">
        <f>SUM(B6:B7)</f>
        <v>71022000</v>
      </c>
      <c r="C8" s="26">
        <f t="shared" ref="C8:V8" si="8">SUM(C6:C7)</f>
        <v>71407548</v>
      </c>
      <c r="D8" s="26">
        <f t="shared" si="8"/>
        <v>71748441.424799994</v>
      </c>
      <c r="E8" s="26">
        <f t="shared" si="8"/>
        <v>72421895.075641915</v>
      </c>
      <c r="F8" s="26">
        <f t="shared" si="8"/>
        <v>73078052.58632344</v>
      </c>
      <c r="G8" s="26">
        <f t="shared" si="8"/>
        <v>83708691.69343318</v>
      </c>
      <c r="H8" s="26">
        <f t="shared" si="8"/>
        <v>84954070.639915273</v>
      </c>
      <c r="I8" s="26">
        <f t="shared" si="8"/>
        <v>86211407.559727922</v>
      </c>
      <c r="J8" s="26">
        <f t="shared" si="8"/>
        <v>87480550.53424865</v>
      </c>
      <c r="K8" s="26">
        <f t="shared" si="8"/>
        <v>88761332.795924246</v>
      </c>
      <c r="L8" s="65" t="s">
        <v>26</v>
      </c>
      <c r="M8" s="26">
        <f t="shared" si="8"/>
        <v>90053572.074613273</v>
      </c>
      <c r="N8" s="26">
        <f t="shared" si="8"/>
        <v>91357069.920083746</v>
      </c>
      <c r="O8" s="26">
        <f t="shared" si="8"/>
        <v>92671610.999863774</v>
      </c>
      <c r="P8" s="26">
        <f t="shared" si="8"/>
        <v>93996962.371617019</v>
      </c>
      <c r="Q8" s="26">
        <f t="shared" si="8"/>
        <v>95332872.729188368</v>
      </c>
      <c r="R8" s="26">
        <f t="shared" si="8"/>
        <v>110688208.42571151</v>
      </c>
      <c r="S8" s="26">
        <f t="shared" si="8"/>
        <v>112324588.18330845</v>
      </c>
      <c r="T8" s="26">
        <f t="shared" si="8"/>
        <v>113976258.5268476</v>
      </c>
      <c r="U8" s="26">
        <f t="shared" si="8"/>
        <v>115642998.67036971</v>
      </c>
      <c r="V8" s="39">
        <f t="shared" si="8"/>
        <v>117324567.50894642</v>
      </c>
    </row>
    <row r="9" spans="1:24" ht="6" customHeight="1" x14ac:dyDescent="0.2">
      <c r="A9" s="16"/>
      <c r="B9" s="11"/>
      <c r="C9" s="11"/>
      <c r="D9" s="11"/>
      <c r="E9" s="11"/>
      <c r="F9" s="11"/>
      <c r="G9" s="11"/>
      <c r="H9" s="11"/>
      <c r="I9" s="11"/>
      <c r="J9" s="11"/>
      <c r="K9" s="11"/>
      <c r="L9" s="16"/>
      <c r="M9" s="11"/>
      <c r="N9" s="11"/>
      <c r="O9" s="11"/>
      <c r="P9" s="11"/>
      <c r="Q9" s="11"/>
      <c r="R9" s="11"/>
      <c r="S9" s="11"/>
      <c r="T9" s="11"/>
      <c r="U9" s="11"/>
      <c r="V9" s="38"/>
    </row>
    <row r="10" spans="1:24" s="3" customFormat="1" ht="12" customHeight="1" x14ac:dyDescent="0.25">
      <c r="A10" s="18" t="s">
        <v>133</v>
      </c>
      <c r="B10" s="11" t="s">
        <v>0</v>
      </c>
      <c r="K10" s="66"/>
      <c r="L10" s="18" t="s">
        <v>14</v>
      </c>
      <c r="V10" s="16"/>
    </row>
    <row r="11" spans="1:24" s="3" customFormat="1" ht="12" customHeight="1" x14ac:dyDescent="0.2">
      <c r="A11" s="16" t="s">
        <v>119</v>
      </c>
      <c r="B11" s="6">
        <f t="shared" ref="B11:K11" si="9">SUM(B5*B52*B56*B61)</f>
        <v>-528595.92000000004</v>
      </c>
      <c r="C11" s="6">
        <f t="shared" si="9"/>
        <v>-439152.20437680004</v>
      </c>
      <c r="D11" s="6">
        <f t="shared" si="9"/>
        <v>-359553.4168156794</v>
      </c>
      <c r="E11" s="6">
        <f t="shared" si="9"/>
        <v>-319404.4733143301</v>
      </c>
      <c r="F11" s="6">
        <f t="shared" si="9"/>
        <v>-280837.15945320285</v>
      </c>
      <c r="G11" s="6">
        <f t="shared" si="9"/>
        <v>-280368.30792387895</v>
      </c>
      <c r="H11" s="6">
        <f t="shared" si="9"/>
        <v>-263645.69128364779</v>
      </c>
      <c r="I11" s="6">
        <f t="shared" si="9"/>
        <v>-246770.36962650641</v>
      </c>
      <c r="J11" s="6">
        <f t="shared" si="9"/>
        <v>-229740.87448902722</v>
      </c>
      <c r="K11" s="6">
        <f t="shared" si="9"/>
        <v>-212555.72331765082</v>
      </c>
      <c r="L11" s="16" t="s">
        <v>119</v>
      </c>
      <c r="M11" s="6">
        <f t="shared" ref="M11:V11" si="10">SUM(M5*M52*M56*M61)</f>
        <v>-195213.41933347491</v>
      </c>
      <c r="N11" s="6">
        <f t="shared" si="10"/>
        <v>-177712.45139574888</v>
      </c>
      <c r="O11" s="6">
        <f t="shared" si="10"/>
        <v>-160051.29386405629</v>
      </c>
      <c r="P11" s="6">
        <f t="shared" si="10"/>
        <v>-142228.40645917552</v>
      </c>
      <c r="Q11" s="6">
        <f t="shared" si="10"/>
        <v>-124242.23412260618</v>
      </c>
      <c r="R11" s="6">
        <f t="shared" si="10"/>
        <v>-122004.88790595644</v>
      </c>
      <c r="S11" s="6">
        <f t="shared" si="10"/>
        <v>-100939.80062245889</v>
      </c>
      <c r="T11" s="6">
        <f t="shared" si="10"/>
        <v>-79681.467099864196</v>
      </c>
      <c r="U11" s="6">
        <f t="shared" si="10"/>
        <v>-58228.029389526753</v>
      </c>
      <c r="V11" s="40">
        <f t="shared" si="10"/>
        <v>-36577.61171534803</v>
      </c>
    </row>
    <row r="12" spans="1:24" s="3" customFormat="1" ht="12" customHeight="1" x14ac:dyDescent="0.2">
      <c r="A12" s="16" t="s">
        <v>120</v>
      </c>
      <c r="B12" s="6">
        <f t="shared" ref="B12:K12" si="11">SUM(B5*B53*B57*B61)</f>
        <v>-391016.16000000003</v>
      </c>
      <c r="C12" s="6">
        <f t="shared" si="11"/>
        <v>-324852.31556640007</v>
      </c>
      <c r="D12" s="6">
        <f t="shared" si="11"/>
        <v>-265971.02065817383</v>
      </c>
      <c r="E12" s="6">
        <f t="shared" si="11"/>
        <v>-236271.80217772364</v>
      </c>
      <c r="F12" s="6">
        <f t="shared" si="11"/>
        <v>-207742.55630784872</v>
      </c>
      <c r="G12" s="6">
        <f t="shared" si="11"/>
        <v>-207395.7346286228</v>
      </c>
      <c r="H12" s="6">
        <f t="shared" si="11"/>
        <v>-195025.57985365725</v>
      </c>
      <c r="I12" s="6">
        <f t="shared" si="11"/>
        <v>-182542.46520316912</v>
      </c>
      <c r="J12" s="6">
        <f t="shared" si="11"/>
        <v>-169945.30441654069</v>
      </c>
      <c r="K12" s="6">
        <f t="shared" si="11"/>
        <v>-157233.00081031705</v>
      </c>
      <c r="L12" s="16" t="s">
        <v>120</v>
      </c>
      <c r="M12" s="6">
        <f t="shared" ref="M12:V12" si="12">SUM(M5*M53*M57*M61)</f>
        <v>-144404.44717818691</v>
      </c>
      <c r="N12" s="6">
        <f t="shared" si="12"/>
        <v>-131458.52569000603</v>
      </c>
      <c r="O12" s="6">
        <f t="shared" si="12"/>
        <v>-118394.10778984986</v>
      </c>
      <c r="P12" s="6">
        <f t="shared" si="12"/>
        <v>-105210.05409308872</v>
      </c>
      <c r="Q12" s="6">
        <f t="shared" si="12"/>
        <v>-91905.214282475805</v>
      </c>
      <c r="R12" s="6">
        <f t="shared" si="12"/>
        <v>-90250.19105372121</v>
      </c>
      <c r="S12" s="6">
        <f t="shared" si="12"/>
        <v>-74667.797720723014</v>
      </c>
      <c r="T12" s="6">
        <f t="shared" si="12"/>
        <v>-58942.455114968041</v>
      </c>
      <c r="U12" s="6">
        <f t="shared" si="12"/>
        <v>-43072.788863485541</v>
      </c>
      <c r="V12" s="40">
        <f t="shared" si="12"/>
        <v>-27057.411405873892</v>
      </c>
    </row>
    <row r="13" spans="1:24" s="3" customFormat="1" ht="12" customHeight="1" x14ac:dyDescent="0.2">
      <c r="A13" s="16" t="s">
        <v>169</v>
      </c>
      <c r="B13" s="6">
        <f>SUM((B50/2)*B60*B52*B55*B56*B61)+((B50/2)*B60*B53*B55*B57*B61)</f>
        <v>-678180</v>
      </c>
      <c r="C13" s="6">
        <f t="shared" ref="C13:K13" si="13">SUM((C50/2)*C60*C52*C55*C56*C61)+((C50/2)*C60*C53*C55*C57*C61)</f>
        <v>-563425.1621999999</v>
      </c>
      <c r="D13" s="6">
        <f t="shared" si="13"/>
        <v>-461301.2075765878</v>
      </c>
      <c r="E13" s="6">
        <f t="shared" si="13"/>
        <v>-409790.7636372078</v>
      </c>
      <c r="F13" s="6">
        <f t="shared" si="13"/>
        <v>-360309.52489753079</v>
      </c>
      <c r="G13" s="6">
        <f t="shared" si="13"/>
        <v>-312789.56172406161</v>
      </c>
      <c r="H13" s="6">
        <f t="shared" si="13"/>
        <v>-294133.17374458461</v>
      </c>
      <c r="I13" s="6">
        <f t="shared" si="13"/>
        <v>-275306.42223270208</v>
      </c>
      <c r="J13" s="6">
        <f t="shared" si="13"/>
        <v>-256307.66891469029</v>
      </c>
      <c r="K13" s="6">
        <f t="shared" si="13"/>
        <v>-237135.25979733732</v>
      </c>
      <c r="L13" s="16" t="s">
        <v>169</v>
      </c>
      <c r="M13" s="6">
        <f t="shared" ref="M13:V13" si="14">SUM((M50/2)*M60*M52*M55*M56*M61)+((M50/2)*M60*M53*M55*M57*M61)</f>
        <v>-217787.52501709753</v>
      </c>
      <c r="N13" s="6">
        <f t="shared" si="14"/>
        <v>-198262.7786877997</v>
      </c>
      <c r="O13" s="6">
        <f t="shared" si="14"/>
        <v>-178559.31874689384</v>
      </c>
      <c r="P13" s="6">
        <f t="shared" si="14"/>
        <v>-158675.42680022088</v>
      </c>
      <c r="Q13" s="6">
        <f t="shared" si="14"/>
        <v>-138609.36796529553</v>
      </c>
      <c r="R13" s="6">
        <f t="shared" si="14"/>
        <v>-118359.39071308232</v>
      </c>
      <c r="S13" s="6">
        <f t="shared" si="14"/>
        <v>-97923.726708255766</v>
      </c>
      <c r="T13" s="6">
        <f t="shared" si="14"/>
        <v>-77300.590647926176</v>
      </c>
      <c r="U13" s="6">
        <f t="shared" si="14"/>
        <v>-56488.18009881847</v>
      </c>
      <c r="V13" s="40">
        <f t="shared" si="14"/>
        <v>-35484.675332888233</v>
      </c>
    </row>
    <row r="14" spans="1:24" s="3" customFormat="1" ht="15" customHeight="1" x14ac:dyDescent="0.25">
      <c r="A14" s="17" t="s">
        <v>1</v>
      </c>
      <c r="B14" s="12">
        <f>SUM(B8:B13)</f>
        <v>69424207.920000002</v>
      </c>
      <c r="C14" s="12">
        <f t="shared" ref="C14:V14" si="15">SUM(C8:C13)</f>
        <v>70080118.317856789</v>
      </c>
      <c r="D14" s="12">
        <f t="shared" si="15"/>
        <v>70661615.779749542</v>
      </c>
      <c r="E14" s="12">
        <f t="shared" si="15"/>
        <v>71456428.036512643</v>
      </c>
      <c r="F14" s="12">
        <f t="shared" si="15"/>
        <v>72229163.345664859</v>
      </c>
      <c r="G14" s="12">
        <f t="shared" si="15"/>
        <v>82908138.089156613</v>
      </c>
      <c r="H14" s="12">
        <f t="shared" si="15"/>
        <v>84201266.195033386</v>
      </c>
      <c r="I14" s="12">
        <f t="shared" si="15"/>
        <v>85506788.302665547</v>
      </c>
      <c r="J14" s="12">
        <f t="shared" si="15"/>
        <v>86824556.686428398</v>
      </c>
      <c r="K14" s="26">
        <f t="shared" si="15"/>
        <v>88154408.811998948</v>
      </c>
      <c r="L14" s="17" t="s">
        <v>1</v>
      </c>
      <c r="M14" s="12">
        <f t="shared" si="15"/>
        <v>89496166.683084518</v>
      </c>
      <c r="N14" s="12">
        <f t="shared" si="15"/>
        <v>90849636.164310187</v>
      </c>
      <c r="O14" s="12">
        <f t="shared" si="15"/>
        <v>92214606.279462978</v>
      </c>
      <c r="P14" s="12">
        <f t="shared" si="15"/>
        <v>93590848.484264523</v>
      </c>
      <c r="Q14" s="12">
        <f t="shared" si="15"/>
        <v>94978115.912817985</v>
      </c>
      <c r="R14" s="12">
        <f t="shared" si="15"/>
        <v>110357593.95603876</v>
      </c>
      <c r="S14" s="12">
        <f t="shared" si="15"/>
        <v>112051056.858257</v>
      </c>
      <c r="T14" s="12">
        <f t="shared" si="15"/>
        <v>113760334.01398486</v>
      </c>
      <c r="U14" s="12">
        <f t="shared" si="15"/>
        <v>115485209.67201789</v>
      </c>
      <c r="V14" s="39">
        <f t="shared" si="15"/>
        <v>117225447.81049231</v>
      </c>
    </row>
    <row r="15" spans="1:24" s="3" customFormat="1" ht="13.15" customHeight="1" x14ac:dyDescent="0.2">
      <c r="A15" s="30" t="s">
        <v>7</v>
      </c>
      <c r="B15" s="11" t="s">
        <v>0</v>
      </c>
      <c r="K15" s="66"/>
      <c r="L15" s="30" t="s">
        <v>7</v>
      </c>
      <c r="V15" s="16"/>
    </row>
    <row r="16" spans="1:24" s="3" customFormat="1" ht="12" customHeight="1" x14ac:dyDescent="0.2">
      <c r="A16" s="16" t="s">
        <v>8</v>
      </c>
      <c r="B16" s="168">
        <f>SUM('bond calc.'!B54)</f>
        <v>-450000</v>
      </c>
      <c r="C16" s="168">
        <f>SUM('bond calc.'!C54)</f>
        <v>-440000</v>
      </c>
      <c r="D16" s="168">
        <f>SUM('bond calc.'!D54)</f>
        <v>-430000</v>
      </c>
      <c r="E16" s="168">
        <f>SUM('bond calc.'!E54)</f>
        <v>-420000</v>
      </c>
      <c r="F16" s="168">
        <f>SUM('bond calc.'!F54)</f>
        <v>-410000</v>
      </c>
      <c r="G16" s="168">
        <f>SUM('bond calc.'!G54)</f>
        <v>-400000</v>
      </c>
      <c r="H16" s="168">
        <f>SUM('bond calc.'!H54)</f>
        <v>-390000</v>
      </c>
      <c r="I16" s="168">
        <f>SUM('bond calc.'!I54)</f>
        <v>-380000</v>
      </c>
      <c r="J16" s="168">
        <f>SUM('bond calc.'!J54)</f>
        <v>-370000</v>
      </c>
      <c r="K16" s="168">
        <f>SUM('bond calc.'!K54)</f>
        <v>-360000</v>
      </c>
      <c r="L16" s="16" t="s">
        <v>8</v>
      </c>
      <c r="M16" s="167">
        <f>SUM('bond calc.'!B55)</f>
        <v>-350000</v>
      </c>
      <c r="N16" s="167">
        <f>SUM('bond calc.'!C55)</f>
        <v>-340000</v>
      </c>
      <c r="O16" s="167">
        <f>SUM('bond calc.'!D55)</f>
        <v>-330000</v>
      </c>
      <c r="P16" s="167">
        <f>SUM('bond calc.'!E55)</f>
        <v>-320000</v>
      </c>
      <c r="Q16" s="167">
        <f>SUM('bond calc.'!F55)</f>
        <v>-310000</v>
      </c>
      <c r="R16" s="167">
        <f>SUM('bond calc.'!G55)</f>
        <v>-300000</v>
      </c>
      <c r="S16" s="167">
        <f>SUM('bond calc.'!H55)</f>
        <v>-290000</v>
      </c>
      <c r="T16" s="167">
        <f>SUM('bond calc.'!I55)</f>
        <v>-280000</v>
      </c>
      <c r="U16" s="167">
        <f>SUM('bond calc.'!J55)</f>
        <v>-270000</v>
      </c>
      <c r="V16" s="167">
        <f>SUM('bond calc.'!K55)</f>
        <v>-260000</v>
      </c>
      <c r="X16" s="4"/>
    </row>
    <row r="17" spans="1:24" s="3" customFormat="1" ht="12" customHeight="1" x14ac:dyDescent="0.25">
      <c r="A17" s="16" t="s">
        <v>181</v>
      </c>
      <c r="B17" s="10">
        <v>-5646000</v>
      </c>
      <c r="C17" s="4">
        <f t="shared" ref="C17:K17" si="16">SUM(B17*(1+C62))</f>
        <v>-5758920</v>
      </c>
      <c r="D17" s="4">
        <f t="shared" si="16"/>
        <v>-5874098.4000000004</v>
      </c>
      <c r="E17" s="4">
        <f t="shared" si="16"/>
        <v>-5991580.3680000007</v>
      </c>
      <c r="F17" s="4">
        <f t="shared" si="16"/>
        <v>-6111411.9753600005</v>
      </c>
      <c r="G17" s="4">
        <f t="shared" si="16"/>
        <v>-6233640.2148672007</v>
      </c>
      <c r="H17" s="4">
        <f t="shared" si="16"/>
        <v>-6358313.0191645445</v>
      </c>
      <c r="I17" s="4">
        <f t="shared" si="16"/>
        <v>-6485479.2795478357</v>
      </c>
      <c r="J17" s="4">
        <f t="shared" si="16"/>
        <v>-6615188.8651387924</v>
      </c>
      <c r="K17" s="54">
        <f t="shared" si="16"/>
        <v>-6747492.642441568</v>
      </c>
      <c r="L17" s="16" t="s">
        <v>181</v>
      </c>
      <c r="M17" s="4">
        <f>SUM(K17*(1+M62))</f>
        <v>-6882442.4952903995</v>
      </c>
      <c r="N17" s="4">
        <f t="shared" ref="N17:V17" si="17">SUM(M17*(1+N62))</f>
        <v>-7020091.345196208</v>
      </c>
      <c r="O17" s="4">
        <f t="shared" si="17"/>
        <v>-7160493.1721001323</v>
      </c>
      <c r="P17" s="4">
        <f t="shared" si="17"/>
        <v>-7303703.0355421351</v>
      </c>
      <c r="Q17" s="4">
        <f t="shared" si="17"/>
        <v>-7449777.0962529778</v>
      </c>
      <c r="R17" s="4">
        <f t="shared" si="17"/>
        <v>-7598772.6381780375</v>
      </c>
      <c r="S17" s="4">
        <f t="shared" si="17"/>
        <v>-7750748.0909415986</v>
      </c>
      <c r="T17" s="4">
        <f t="shared" si="17"/>
        <v>-7905763.0527604306</v>
      </c>
      <c r="U17" s="4">
        <f t="shared" si="17"/>
        <v>-8063878.3138156394</v>
      </c>
      <c r="V17" s="36">
        <f t="shared" si="17"/>
        <v>-8225155.8800919522</v>
      </c>
      <c r="X17" s="4"/>
    </row>
    <row r="18" spans="1:24" s="3" customFormat="1" ht="14.45" customHeight="1" thickBot="1" x14ac:dyDescent="0.3">
      <c r="A18" s="65" t="s">
        <v>21</v>
      </c>
      <c r="B18" s="5">
        <f t="shared" ref="B18:K18" si="18">SUM(B14:B17)</f>
        <v>63328207.920000002</v>
      </c>
      <c r="C18" s="5">
        <f t="shared" si="18"/>
        <v>63881198.317856789</v>
      </c>
      <c r="D18" s="5">
        <f t="shared" si="18"/>
        <v>64357517.379749544</v>
      </c>
      <c r="E18" s="5">
        <f t="shared" si="18"/>
        <v>65044847.668512642</v>
      </c>
      <c r="F18" s="5">
        <f t="shared" si="18"/>
        <v>65707751.37030486</v>
      </c>
      <c r="G18" s="5">
        <f t="shared" si="18"/>
        <v>76274497.874289408</v>
      </c>
      <c r="H18" s="5">
        <f t="shared" si="18"/>
        <v>77452953.175868839</v>
      </c>
      <c r="I18" s="5">
        <f t="shared" si="18"/>
        <v>78641309.023117706</v>
      </c>
      <c r="J18" s="5">
        <f t="shared" si="18"/>
        <v>79839367.821289599</v>
      </c>
      <c r="K18" s="68">
        <f t="shared" si="18"/>
        <v>81046916.169557378</v>
      </c>
      <c r="L18" s="65" t="s">
        <v>21</v>
      </c>
      <c r="M18" s="5">
        <f t="shared" ref="M18:V18" si="19">SUM(M14:M17)</f>
        <v>82263724.187794119</v>
      </c>
      <c r="N18" s="5">
        <f t="shared" si="19"/>
        <v>83489544.819113985</v>
      </c>
      <c r="O18" s="5">
        <f t="shared" si="19"/>
        <v>84724113.107362852</v>
      </c>
      <c r="P18" s="5">
        <f t="shared" si="19"/>
        <v>85967145.448722392</v>
      </c>
      <c r="Q18" s="5">
        <f t="shared" si="19"/>
        <v>87218338.816565007</v>
      </c>
      <c r="R18" s="5">
        <f t="shared" si="19"/>
        <v>102458821.31786072</v>
      </c>
      <c r="S18" s="5">
        <f t="shared" si="19"/>
        <v>104010308.7673154</v>
      </c>
      <c r="T18" s="5">
        <f t="shared" si="19"/>
        <v>105574570.96122442</v>
      </c>
      <c r="U18" s="5">
        <f t="shared" si="19"/>
        <v>107151331.35820225</v>
      </c>
      <c r="V18" s="42">
        <f t="shared" si="19"/>
        <v>108740291.93040036</v>
      </c>
    </row>
    <row r="19" spans="1:24" s="32" customFormat="1" ht="19.899999999999999" customHeight="1" thickTop="1" x14ac:dyDescent="0.25">
      <c r="A19" s="189" t="s">
        <v>0</v>
      </c>
      <c r="B19" s="189"/>
      <c r="C19" s="189"/>
      <c r="D19" s="189"/>
      <c r="E19" s="189"/>
      <c r="F19" s="189"/>
      <c r="G19" s="189"/>
      <c r="H19" s="189"/>
      <c r="I19" s="189"/>
      <c r="J19" s="189"/>
      <c r="K19" s="189"/>
      <c r="L19" s="189"/>
      <c r="M19" s="189"/>
      <c r="N19" s="189"/>
      <c r="O19" s="189"/>
      <c r="P19" s="189"/>
      <c r="Q19" s="189"/>
      <c r="R19" s="189"/>
      <c r="S19" s="189"/>
      <c r="T19" s="189"/>
      <c r="U19" s="189"/>
      <c r="V19" s="189"/>
    </row>
    <row r="20" spans="1:24" ht="15" customHeight="1" x14ac:dyDescent="0.2">
      <c r="A20" s="186" t="s">
        <v>3</v>
      </c>
      <c r="B20" s="187"/>
      <c r="C20" s="187"/>
      <c r="D20" s="187"/>
      <c r="E20" s="187"/>
      <c r="F20" s="187"/>
      <c r="G20" s="187"/>
      <c r="H20" s="187"/>
      <c r="I20" s="187"/>
      <c r="J20" s="187"/>
      <c r="K20" s="188"/>
      <c r="L20" s="186" t="s">
        <v>3</v>
      </c>
      <c r="M20" s="187"/>
      <c r="N20" s="187"/>
      <c r="O20" s="187"/>
      <c r="P20" s="187"/>
      <c r="Q20" s="187"/>
      <c r="R20" s="187"/>
      <c r="S20" s="187"/>
      <c r="T20" s="187"/>
      <c r="U20" s="187"/>
      <c r="V20" s="187"/>
    </row>
    <row r="21" spans="1:24" s="8" customFormat="1" ht="13.9" customHeight="1" x14ac:dyDescent="0.2">
      <c r="A21" s="14"/>
      <c r="B21" s="13" t="s">
        <v>9</v>
      </c>
      <c r="C21" s="9" t="s">
        <v>10</v>
      </c>
      <c r="D21" s="9" t="s">
        <v>11</v>
      </c>
      <c r="E21" s="9" t="s">
        <v>12</v>
      </c>
      <c r="F21" s="9" t="s">
        <v>13</v>
      </c>
      <c r="G21" s="9" t="s">
        <v>16</v>
      </c>
      <c r="H21" s="9" t="s">
        <v>17</v>
      </c>
      <c r="I21" s="9" t="s">
        <v>18</v>
      </c>
      <c r="J21" s="9" t="s">
        <v>19</v>
      </c>
      <c r="K21" s="46" t="s">
        <v>20</v>
      </c>
      <c r="L21" s="14"/>
      <c r="M21" s="13" t="s">
        <v>28</v>
      </c>
      <c r="N21" s="9" t="s">
        <v>29</v>
      </c>
      <c r="O21" s="9" t="s">
        <v>30</v>
      </c>
      <c r="P21" s="9" t="s">
        <v>31</v>
      </c>
      <c r="Q21" s="9" t="s">
        <v>32</v>
      </c>
      <c r="R21" s="9" t="s">
        <v>33</v>
      </c>
      <c r="S21" s="9" t="s">
        <v>34</v>
      </c>
      <c r="T21" s="9" t="s">
        <v>35</v>
      </c>
      <c r="U21" s="9" t="s">
        <v>36</v>
      </c>
      <c r="V21" s="9" t="s">
        <v>37</v>
      </c>
    </row>
    <row r="22" spans="1:24" s="3" customFormat="1" ht="12" customHeight="1" x14ac:dyDescent="0.25">
      <c r="A22" s="15" t="s">
        <v>135</v>
      </c>
      <c r="B22" s="10"/>
      <c r="K22" s="66"/>
      <c r="L22" s="15" t="s">
        <v>24</v>
      </c>
      <c r="V22" s="44"/>
    </row>
    <row r="23" spans="1:24" ht="12" customHeight="1" x14ac:dyDescent="0.2">
      <c r="A23" s="16" t="s">
        <v>4</v>
      </c>
      <c r="B23" s="11">
        <f t="shared" ref="B23:K23" si="20">SUM(B25*B54)</f>
        <v>45859920</v>
      </c>
      <c r="C23" s="11">
        <f t="shared" si="20"/>
        <v>48180431.952</v>
      </c>
      <c r="D23" s="11">
        <f t="shared" si="20"/>
        <v>50618361.808771208</v>
      </c>
      <c r="E23" s="11">
        <f t="shared" si="20"/>
        <v>52663343.625845566</v>
      </c>
      <c r="F23" s="11">
        <f t="shared" si="20"/>
        <v>54790942.70832973</v>
      </c>
      <c r="G23" s="11">
        <f t="shared" si="20"/>
        <v>65555171.312808186</v>
      </c>
      <c r="H23" s="11">
        <f t="shared" si="20"/>
        <v>67534937.486455008</v>
      </c>
      <c r="I23" s="11">
        <f t="shared" si="20"/>
        <v>69574492.598545954</v>
      </c>
      <c r="J23" s="11">
        <f t="shared" si="20"/>
        <v>71675642.275022045</v>
      </c>
      <c r="K23" s="11">
        <f t="shared" si="20"/>
        <v>73840246.671727702</v>
      </c>
      <c r="L23" s="16" t="s">
        <v>4</v>
      </c>
      <c r="M23" s="11">
        <f t="shared" ref="M23:V23" si="21">SUM(M25*M54)</f>
        <v>76070222.121213883</v>
      </c>
      <c r="N23" s="11">
        <f t="shared" si="21"/>
        <v>78367542.829274535</v>
      </c>
      <c r="O23" s="11">
        <f t="shared" si="21"/>
        <v>80734242.622718632</v>
      </c>
      <c r="P23" s="11">
        <f t="shared" si="21"/>
        <v>83172416.749924734</v>
      </c>
      <c r="Q23" s="11">
        <f t="shared" si="21"/>
        <v>85684223.735772461</v>
      </c>
      <c r="R23" s="11">
        <f t="shared" si="21"/>
        <v>101512670.38648172</v>
      </c>
      <c r="S23" s="11">
        <f t="shared" si="21"/>
        <v>104578353.03215349</v>
      </c>
      <c r="T23" s="11">
        <f t="shared" si="21"/>
        <v>107736619.29372452</v>
      </c>
      <c r="U23" s="11">
        <f t="shared" si="21"/>
        <v>110990265.19639499</v>
      </c>
      <c r="V23" s="38">
        <f t="shared" si="21"/>
        <v>114342171.20532613</v>
      </c>
    </row>
    <row r="24" spans="1:24" ht="12" customHeight="1" x14ac:dyDescent="0.2">
      <c r="A24" s="16" t="s">
        <v>118</v>
      </c>
      <c r="B24" s="11">
        <f t="shared" ref="B24:M24" si="22">SUM(B25-B23)</f>
        <v>14482080</v>
      </c>
      <c r="C24" s="11">
        <f t="shared" si="22"/>
        <v>13368408.048</v>
      </c>
      <c r="D24" s="11">
        <f t="shared" si="22"/>
        <v>12161454.991228797</v>
      </c>
      <c r="E24" s="11">
        <f t="shared" si="22"/>
        <v>11372069.510154434</v>
      </c>
      <c r="F24" s="11">
        <f t="shared" si="22"/>
        <v>10525178.690390266</v>
      </c>
      <c r="G24" s="11">
        <f t="shared" si="22"/>
        <v>11060639.087890372</v>
      </c>
      <c r="H24" s="11">
        <f t="shared" si="22"/>
        <v>10613189.122257531</v>
      </c>
      <c r="I24" s="11">
        <f t="shared" si="22"/>
        <v>10136596.542340845</v>
      </c>
      <c r="J24" s="11">
        <f t="shared" si="22"/>
        <v>9629668.64868249</v>
      </c>
      <c r="K24" s="11">
        <f t="shared" si="22"/>
        <v>9091170.4704509228</v>
      </c>
      <c r="L24" s="16" t="s">
        <v>118</v>
      </c>
      <c r="M24" s="11">
        <f t="shared" si="22"/>
        <v>8519823.363808319</v>
      </c>
      <c r="N24" s="11">
        <f t="shared" ref="N24:V24" si="23">SUM(N25-N23)</f>
        <v>7914303.5654481053</v>
      </c>
      <c r="O24" s="11">
        <f t="shared" si="23"/>
        <v>7273240.6998984665</v>
      </c>
      <c r="P24" s="11">
        <f t="shared" si="23"/>
        <v>6595216.2391446978</v>
      </c>
      <c r="Q24" s="11">
        <f t="shared" si="23"/>
        <v>5878761.9130783677</v>
      </c>
      <c r="R24" s="11">
        <f t="shared" si="23"/>
        <v>5890711.7796203047</v>
      </c>
      <c r="S24" s="11">
        <f t="shared" si="23"/>
        <v>4973096.7772705853</v>
      </c>
      <c r="T24" s="11">
        <f t="shared" si="23"/>
        <v>4005859.5118880272</v>
      </c>
      <c r="U24" s="11">
        <f t="shared" si="23"/>
        <v>2987063.1853298098</v>
      </c>
      <c r="V24" s="38">
        <f t="shared" si="23"/>
        <v>1914703.7440331727</v>
      </c>
    </row>
    <row r="25" spans="1:24" s="3" customFormat="1" ht="12" customHeight="1" x14ac:dyDescent="0.25">
      <c r="A25" s="24" t="s">
        <v>25</v>
      </c>
      <c r="B25" s="25">
        <f>SUM(B50*B51)</f>
        <v>60342000</v>
      </c>
      <c r="C25" s="25">
        <f t="shared" ref="C25:V25" si="24">SUM(C50*C51)</f>
        <v>61548840</v>
      </c>
      <c r="D25" s="25">
        <f t="shared" si="24"/>
        <v>62779816.800000004</v>
      </c>
      <c r="E25" s="25">
        <f t="shared" si="24"/>
        <v>64035413.136</v>
      </c>
      <c r="F25" s="25">
        <f t="shared" si="24"/>
        <v>65316121.398719996</v>
      </c>
      <c r="G25" s="25">
        <f t="shared" si="24"/>
        <v>76615810.400698557</v>
      </c>
      <c r="H25" s="25">
        <f t="shared" si="24"/>
        <v>78148126.608712539</v>
      </c>
      <c r="I25" s="25">
        <f t="shared" si="24"/>
        <v>79711089.140886799</v>
      </c>
      <c r="J25" s="25">
        <f t="shared" si="24"/>
        <v>81305310.923704535</v>
      </c>
      <c r="K25" s="67">
        <f t="shared" si="24"/>
        <v>82931417.142178625</v>
      </c>
      <c r="L25" s="24" t="s">
        <v>25</v>
      </c>
      <c r="M25" s="25">
        <f t="shared" si="24"/>
        <v>84590045.485022202</v>
      </c>
      <c r="N25" s="25">
        <f t="shared" si="24"/>
        <v>86281846.394722641</v>
      </c>
      <c r="O25" s="25">
        <f t="shared" si="24"/>
        <v>88007483.322617099</v>
      </c>
      <c r="P25" s="25">
        <f t="shared" si="24"/>
        <v>89767632.989069432</v>
      </c>
      <c r="Q25" s="25">
        <f t="shared" si="24"/>
        <v>91562985.648850828</v>
      </c>
      <c r="R25" s="25">
        <f t="shared" si="24"/>
        <v>107403382.16610202</v>
      </c>
      <c r="S25" s="25">
        <f t="shared" si="24"/>
        <v>109551449.80942407</v>
      </c>
      <c r="T25" s="25">
        <f t="shared" si="24"/>
        <v>111742478.80561255</v>
      </c>
      <c r="U25" s="25">
        <f t="shared" si="24"/>
        <v>113977328.3817248</v>
      </c>
      <c r="V25" s="35">
        <f t="shared" si="24"/>
        <v>116256874.9493593</v>
      </c>
    </row>
    <row r="26" spans="1:24" ht="12" customHeight="1" x14ac:dyDescent="0.2">
      <c r="A26" s="16" t="s">
        <v>145</v>
      </c>
      <c r="B26" s="11">
        <f>SUM((((B50*B55)/2)*B60)*0.1)</f>
        <v>1068000</v>
      </c>
      <c r="C26" s="11">
        <f t="shared" ref="C26:K26" si="25">SUM((((C50*C55)/2)*C60)*0.1)</f>
        <v>985870.79999999981</v>
      </c>
      <c r="D26" s="11">
        <f t="shared" si="25"/>
        <v>896862.46247999952</v>
      </c>
      <c r="E26" s="11">
        <f t="shared" si="25"/>
        <v>838648.19396419125</v>
      </c>
      <c r="F26" s="11">
        <f t="shared" si="25"/>
        <v>776193.11876034446</v>
      </c>
      <c r="G26" s="11">
        <f t="shared" si="25"/>
        <v>709288.12927346223</v>
      </c>
      <c r="H26" s="11">
        <f t="shared" si="25"/>
        <v>680594.40312027279</v>
      </c>
      <c r="I26" s="11">
        <f t="shared" si="25"/>
        <v>650031.84188411245</v>
      </c>
      <c r="J26" s="11">
        <f t="shared" si="25"/>
        <v>617523.9610544116</v>
      </c>
      <c r="K26" s="11">
        <f t="shared" si="25"/>
        <v>582991.56537456217</v>
      </c>
      <c r="L26" s="16" t="s">
        <v>145</v>
      </c>
      <c r="M26" s="11">
        <f>SUM((((M50*M55)/2)*M60)*0.1)</f>
        <v>546352.65895910736</v>
      </c>
      <c r="N26" s="11">
        <f t="shared" ref="N26:V26" si="26">SUM((((N50*N55)/2)*N60)*0.1)</f>
        <v>507522.35253611032</v>
      </c>
      <c r="O26" s="11">
        <f t="shared" si="26"/>
        <v>466412.76772466779</v>
      </c>
      <c r="P26" s="11">
        <f t="shared" si="26"/>
        <v>422932.93825475854</v>
      </c>
      <c r="Q26" s="11">
        <f t="shared" si="26"/>
        <v>376988.70803375426</v>
      </c>
      <c r="R26" s="11">
        <f t="shared" si="26"/>
        <v>328482.62596094963</v>
      </c>
      <c r="S26" s="11">
        <f t="shared" si="26"/>
        <v>277313.83738843771</v>
      </c>
      <c r="T26" s="11">
        <f t="shared" si="26"/>
        <v>223377.97212350537</v>
      </c>
      <c r="U26" s="11">
        <f t="shared" si="26"/>
        <v>166567.02886449109</v>
      </c>
      <c r="V26" s="179">
        <f t="shared" si="26"/>
        <v>106769.2559587115</v>
      </c>
    </row>
    <row r="27" spans="1:24" s="27" customFormat="1" ht="16.149999999999999" customHeight="1" x14ac:dyDescent="0.2">
      <c r="A27" s="65" t="s">
        <v>26</v>
      </c>
      <c r="B27" s="26">
        <f>SUM(B25:B26)</f>
        <v>61410000</v>
      </c>
      <c r="C27" s="26">
        <f t="shared" ref="C27:V27" si="27">SUM(C25:C26)</f>
        <v>62534710.799999997</v>
      </c>
      <c r="D27" s="26">
        <f t="shared" si="27"/>
        <v>63676679.262480006</v>
      </c>
      <c r="E27" s="26">
        <f t="shared" si="27"/>
        <v>64874061.329964191</v>
      </c>
      <c r="F27" s="26">
        <f t="shared" si="27"/>
        <v>66092314.517480344</v>
      </c>
      <c r="G27" s="26">
        <f t="shared" si="27"/>
        <v>77325098.529972017</v>
      </c>
      <c r="H27" s="26">
        <f t="shared" si="27"/>
        <v>78828721.011832818</v>
      </c>
      <c r="I27" s="26">
        <f t="shared" si="27"/>
        <v>80361120.982770905</v>
      </c>
      <c r="J27" s="26">
        <f t="shared" si="27"/>
        <v>81922834.884758949</v>
      </c>
      <c r="K27" s="26">
        <f t="shared" si="27"/>
        <v>83514408.707553193</v>
      </c>
      <c r="L27" s="65" t="s">
        <v>26</v>
      </c>
      <c r="M27" s="26">
        <f t="shared" si="27"/>
        <v>85136398.143981308</v>
      </c>
      <c r="N27" s="26">
        <f t="shared" si="27"/>
        <v>86789368.747258753</v>
      </c>
      <c r="O27" s="26">
        <f t="shared" si="27"/>
        <v>88473896.090341762</v>
      </c>
      <c r="P27" s="26">
        <f t="shared" si="27"/>
        <v>90190565.927324191</v>
      </c>
      <c r="Q27" s="26">
        <f t="shared" si="27"/>
        <v>91939974.356884584</v>
      </c>
      <c r="R27" s="26">
        <f t="shared" si="27"/>
        <v>107731864.79206297</v>
      </c>
      <c r="S27" s="26">
        <f t="shared" si="27"/>
        <v>109828763.64681251</v>
      </c>
      <c r="T27" s="26">
        <f t="shared" si="27"/>
        <v>111965856.77773605</v>
      </c>
      <c r="U27" s="26">
        <f t="shared" si="27"/>
        <v>114143895.41058929</v>
      </c>
      <c r="V27" s="39">
        <f t="shared" si="27"/>
        <v>116363644.205318</v>
      </c>
    </row>
    <row r="28" spans="1:24" s="3" customFormat="1" ht="12" customHeight="1" x14ac:dyDescent="0.25">
      <c r="A28" s="16" t="s">
        <v>0</v>
      </c>
      <c r="B28" s="11"/>
      <c r="K28" s="66"/>
      <c r="L28" s="16" t="s">
        <v>0</v>
      </c>
      <c r="V28" s="16"/>
    </row>
    <row r="29" spans="1:24" s="3" customFormat="1" ht="12" customHeight="1" x14ac:dyDescent="0.25">
      <c r="A29" s="18" t="s">
        <v>136</v>
      </c>
      <c r="B29" s="11"/>
      <c r="K29" s="66"/>
      <c r="L29" s="18" t="s">
        <v>14</v>
      </c>
      <c r="V29" s="16"/>
    </row>
    <row r="30" spans="1:24" s="3" customFormat="1" ht="12" customHeight="1" x14ac:dyDescent="0.2">
      <c r="A30" s="16" t="s">
        <v>119</v>
      </c>
      <c r="B30" s="6">
        <f t="shared" ref="B30:K30" si="28">SUM(B5*B52*B56*B61)*0.1</f>
        <v>-52859.592000000004</v>
      </c>
      <c r="C30" s="6">
        <f t="shared" si="28"/>
        <v>-43915.220437680007</v>
      </c>
      <c r="D30" s="6">
        <f t="shared" si="28"/>
        <v>-35955.341681567945</v>
      </c>
      <c r="E30" s="6">
        <f t="shared" si="28"/>
        <v>-31940.44733143301</v>
      </c>
      <c r="F30" s="6">
        <f t="shared" si="28"/>
        <v>-28083.715945320288</v>
      </c>
      <c r="G30" s="6">
        <f t="shared" si="28"/>
        <v>-28036.830792387897</v>
      </c>
      <c r="H30" s="6">
        <f t="shared" si="28"/>
        <v>-26364.569128364779</v>
      </c>
      <c r="I30" s="6">
        <f t="shared" si="28"/>
        <v>-24677.036962650644</v>
      </c>
      <c r="J30" s="6">
        <f t="shared" si="28"/>
        <v>-22974.087448902723</v>
      </c>
      <c r="K30" s="6">
        <f t="shared" si="28"/>
        <v>-21255.572331765085</v>
      </c>
      <c r="L30" s="16" t="s">
        <v>119</v>
      </c>
      <c r="M30" s="6">
        <f t="shared" ref="M30:V30" si="29">SUM(M5*M52*M56*M61)*0.1</f>
        <v>-19521.341933347492</v>
      </c>
      <c r="N30" s="6">
        <f t="shared" si="29"/>
        <v>-17771.24513957489</v>
      </c>
      <c r="O30" s="6">
        <f t="shared" si="29"/>
        <v>-16005.12938640563</v>
      </c>
      <c r="P30" s="6">
        <f t="shared" si="29"/>
        <v>-14222.840645917553</v>
      </c>
      <c r="Q30" s="6">
        <f t="shared" si="29"/>
        <v>-12424.223412260619</v>
      </c>
      <c r="R30" s="6">
        <f t="shared" si="29"/>
        <v>-12200.488790595644</v>
      </c>
      <c r="S30" s="6">
        <f t="shared" si="29"/>
        <v>-10093.98006224589</v>
      </c>
      <c r="T30" s="6">
        <f t="shared" si="29"/>
        <v>-7968.1467099864203</v>
      </c>
      <c r="U30" s="6">
        <f t="shared" si="29"/>
        <v>-5822.8029389526755</v>
      </c>
      <c r="V30" s="40">
        <f t="shared" si="29"/>
        <v>-3657.761171534803</v>
      </c>
    </row>
    <row r="31" spans="1:24" s="3" customFormat="1" ht="12" customHeight="1" x14ac:dyDescent="0.25">
      <c r="A31" s="16" t="s">
        <v>120</v>
      </c>
      <c r="B31" s="10">
        <f t="shared" ref="B31:K31" si="30">SUM(B5*B53*B57*B61)*0.1</f>
        <v>-39101.616000000002</v>
      </c>
      <c r="C31" s="10">
        <f t="shared" si="30"/>
        <v>-32485.231556640007</v>
      </c>
      <c r="D31" s="10">
        <f t="shared" si="30"/>
        <v>-26597.102065817384</v>
      </c>
      <c r="E31" s="10">
        <f t="shared" si="30"/>
        <v>-23627.180217772366</v>
      </c>
      <c r="F31" s="10">
        <f t="shared" si="30"/>
        <v>-20774.255630784872</v>
      </c>
      <c r="G31" s="10">
        <f t="shared" si="30"/>
        <v>-20739.573462862281</v>
      </c>
      <c r="H31" s="10">
        <f t="shared" si="30"/>
        <v>-19502.557985365725</v>
      </c>
      <c r="I31" s="10">
        <f t="shared" si="30"/>
        <v>-18254.246520316912</v>
      </c>
      <c r="J31" s="10">
        <f t="shared" si="30"/>
        <v>-16994.530441654071</v>
      </c>
      <c r="K31" s="10">
        <f t="shared" si="30"/>
        <v>-15723.300081031706</v>
      </c>
      <c r="L31" s="16" t="s">
        <v>120</v>
      </c>
      <c r="M31" s="10">
        <f t="shared" ref="M31:V31" si="31">SUM(M5*M53*M57*M61)*0.1</f>
        <v>-14440.444717818691</v>
      </c>
      <c r="N31" s="10">
        <f t="shared" si="31"/>
        <v>-13145.852569000604</v>
      </c>
      <c r="O31" s="10">
        <f t="shared" si="31"/>
        <v>-11839.410778984988</v>
      </c>
      <c r="P31" s="10">
        <f t="shared" si="31"/>
        <v>-10521.005409308873</v>
      </c>
      <c r="Q31" s="10">
        <f t="shared" si="31"/>
        <v>-9190.5214282475808</v>
      </c>
      <c r="R31" s="10">
        <f t="shared" si="31"/>
        <v>-9025.019105372121</v>
      </c>
      <c r="S31" s="10">
        <f t="shared" si="31"/>
        <v>-7466.779772072302</v>
      </c>
      <c r="T31" s="10">
        <f t="shared" si="31"/>
        <v>-5894.2455114968043</v>
      </c>
      <c r="U31" s="10">
        <f t="shared" si="31"/>
        <v>-4307.2788863485539</v>
      </c>
      <c r="V31" s="38">
        <f t="shared" si="31"/>
        <v>-2705.7411405873895</v>
      </c>
    </row>
    <row r="32" spans="1:24" s="3" customFormat="1" ht="12" customHeight="1" x14ac:dyDescent="0.2">
      <c r="A32" s="16" t="s">
        <v>169</v>
      </c>
      <c r="B32" s="6">
        <f>B13*0.1</f>
        <v>-67818</v>
      </c>
      <c r="C32" s="6">
        <f t="shared" ref="C32:V32" si="32">C13*0.1</f>
        <v>-56342.51621999999</v>
      </c>
      <c r="D32" s="6">
        <f t="shared" si="32"/>
        <v>-46130.120757658784</v>
      </c>
      <c r="E32" s="6">
        <f t="shared" si="32"/>
        <v>-40979.076363720786</v>
      </c>
      <c r="F32" s="6">
        <f t="shared" si="32"/>
        <v>-36030.952489753079</v>
      </c>
      <c r="G32" s="6">
        <f t="shared" si="32"/>
        <v>-31278.956172406164</v>
      </c>
      <c r="H32" s="6">
        <f t="shared" si="32"/>
        <v>-29413.317374458464</v>
      </c>
      <c r="I32" s="6">
        <f t="shared" si="32"/>
        <v>-27530.64222327021</v>
      </c>
      <c r="J32" s="6">
        <f t="shared" si="32"/>
        <v>-25630.766891469029</v>
      </c>
      <c r="K32" s="6">
        <f t="shared" si="32"/>
        <v>-23713.525979733735</v>
      </c>
      <c r="L32" s="16" t="s">
        <v>169</v>
      </c>
      <c r="M32" s="6">
        <f t="shared" si="32"/>
        <v>-21778.752501709754</v>
      </c>
      <c r="N32" s="6">
        <f t="shared" si="32"/>
        <v>-19826.277868779973</v>
      </c>
      <c r="O32" s="6">
        <f t="shared" si="32"/>
        <v>-17855.931874689384</v>
      </c>
      <c r="P32" s="6">
        <f t="shared" si="32"/>
        <v>-15867.542680022088</v>
      </c>
      <c r="Q32" s="6">
        <f t="shared" si="32"/>
        <v>-13860.936796529553</v>
      </c>
      <c r="R32" s="6">
        <f t="shared" si="32"/>
        <v>-11835.939071308232</v>
      </c>
      <c r="S32" s="6">
        <f t="shared" si="32"/>
        <v>-9792.3726708255763</v>
      </c>
      <c r="T32" s="6">
        <f t="shared" si="32"/>
        <v>-7730.0590647926183</v>
      </c>
      <c r="U32" s="6">
        <f t="shared" si="32"/>
        <v>-5648.8180098818475</v>
      </c>
      <c r="V32" s="6">
        <f t="shared" si="32"/>
        <v>-3548.4675332888237</v>
      </c>
      <c r="X32" s="3" t="s">
        <v>0</v>
      </c>
    </row>
    <row r="33" spans="1:24" s="3" customFormat="1" ht="12" customHeight="1" x14ac:dyDescent="0.25">
      <c r="A33" s="65" t="s">
        <v>15</v>
      </c>
      <c r="B33" s="12">
        <f>SUM(B27:B32)</f>
        <v>61250220.792000003</v>
      </c>
      <c r="C33" s="12">
        <f t="shared" ref="C33:V33" si="33">SUM(C27:C32)</f>
        <v>62401967.831785671</v>
      </c>
      <c r="D33" s="12">
        <f t="shared" si="33"/>
        <v>63567996.697974958</v>
      </c>
      <c r="E33" s="12">
        <f t="shared" si="33"/>
        <v>64777514.626051262</v>
      </c>
      <c r="F33" s="12">
        <f t="shared" si="33"/>
        <v>66007425.593414485</v>
      </c>
      <c r="G33" s="12">
        <f t="shared" si="33"/>
        <v>77245043.169544369</v>
      </c>
      <c r="H33" s="12">
        <f t="shared" si="33"/>
        <v>78753440.567344636</v>
      </c>
      <c r="I33" s="12">
        <f t="shared" si="33"/>
        <v>80290659.057064682</v>
      </c>
      <c r="J33" s="12">
        <f t="shared" si="33"/>
        <v>81857235.499976918</v>
      </c>
      <c r="K33" s="26">
        <f t="shared" si="33"/>
        <v>83453716.309160665</v>
      </c>
      <c r="L33" s="65" t="s">
        <v>15</v>
      </c>
      <c r="M33" s="12">
        <f t="shared" si="33"/>
        <v>85080657.604828417</v>
      </c>
      <c r="N33" s="12">
        <f t="shared" si="33"/>
        <v>86738625.371681407</v>
      </c>
      <c r="O33" s="12">
        <f t="shared" si="33"/>
        <v>88428195.618301675</v>
      </c>
      <c r="P33" s="12">
        <f t="shared" si="33"/>
        <v>90149954.538588926</v>
      </c>
      <c r="Q33" s="12">
        <f t="shared" si="33"/>
        <v>91904498.67524755</v>
      </c>
      <c r="R33" s="12">
        <f t="shared" si="33"/>
        <v>107698803.34509568</v>
      </c>
      <c r="S33" s="12">
        <f t="shared" si="33"/>
        <v>109801410.51430736</v>
      </c>
      <c r="T33" s="12">
        <f t="shared" si="33"/>
        <v>111944264.32644977</v>
      </c>
      <c r="U33" s="12">
        <f t="shared" si="33"/>
        <v>114128116.51075411</v>
      </c>
      <c r="V33" s="39">
        <f t="shared" si="33"/>
        <v>116353732.23547259</v>
      </c>
    </row>
    <row r="34" spans="1:24" s="19" customFormat="1" ht="16.899999999999999" customHeight="1" x14ac:dyDescent="0.2">
      <c r="A34" s="30" t="s">
        <v>7</v>
      </c>
      <c r="B34" s="31"/>
      <c r="K34" s="69"/>
      <c r="L34" s="30" t="s">
        <v>7</v>
      </c>
      <c r="V34" s="41"/>
    </row>
    <row r="35" spans="1:24" s="3" customFormat="1" ht="12" customHeight="1" x14ac:dyDescent="0.25">
      <c r="A35" s="16" t="s">
        <v>8</v>
      </c>
      <c r="B35" s="21">
        <f>SUM('bond calc.'!B26)</f>
        <v>-3690000</v>
      </c>
      <c r="C35" s="21">
        <f>SUM('bond calc.'!C26)</f>
        <v>-3608000</v>
      </c>
      <c r="D35" s="21">
        <f>SUM('bond calc.'!D26)</f>
        <v>-3526000</v>
      </c>
      <c r="E35" s="21">
        <f>SUM('bond calc.'!E26)</f>
        <v>-3444000</v>
      </c>
      <c r="F35" s="21">
        <f>SUM('bond calc.'!F26)</f>
        <v>-3362000</v>
      </c>
      <c r="G35" s="21">
        <f>SUM('bond calc.'!G26)</f>
        <v>-3280000</v>
      </c>
      <c r="H35" s="21">
        <f>SUM('bond calc.'!H26)</f>
        <v>-3198000</v>
      </c>
      <c r="I35" s="21">
        <f>SUM('bond calc.'!I26)</f>
        <v>-3116000</v>
      </c>
      <c r="J35" s="21">
        <f>SUM('bond calc.'!J26)</f>
        <v>-3034000</v>
      </c>
      <c r="K35" s="21">
        <f>SUM('bond calc.'!K26)</f>
        <v>-2952000</v>
      </c>
      <c r="L35" s="16" t="s">
        <v>8</v>
      </c>
      <c r="M35" s="11">
        <f>SUM('bond calc.'!B27)</f>
        <v>-2870000</v>
      </c>
      <c r="N35" s="11">
        <f>SUM('bond calc.'!C27)</f>
        <v>-2788000</v>
      </c>
      <c r="O35" s="11">
        <f>SUM('bond calc.'!D27)</f>
        <v>-2706000</v>
      </c>
      <c r="P35" s="11">
        <f>SUM('bond calc.'!E27)</f>
        <v>-2624000</v>
      </c>
      <c r="Q35" s="11">
        <f>SUM('bond calc.'!F27)</f>
        <v>-2542000</v>
      </c>
      <c r="R35" s="11">
        <f>SUM('bond calc.'!G27)</f>
        <v>-2460000</v>
      </c>
      <c r="S35" s="11">
        <f>SUM('bond calc.'!H27)</f>
        <v>-2378000</v>
      </c>
      <c r="T35" s="11">
        <f>SUM('bond calc.'!I27)</f>
        <v>-2296000</v>
      </c>
      <c r="U35" s="11">
        <f>SUM('bond calc.'!J27)</f>
        <v>-2214000</v>
      </c>
      <c r="V35" s="11">
        <f>SUM('bond calc.'!K27)</f>
        <v>-2132000</v>
      </c>
    </row>
    <row r="36" spans="1:24" s="3" customFormat="1" ht="12" customHeight="1" x14ac:dyDescent="0.25">
      <c r="A36" s="16" t="s">
        <v>181</v>
      </c>
      <c r="B36" s="11">
        <v>-5436000</v>
      </c>
      <c r="C36" s="4">
        <f t="shared" ref="C36:K36" si="34">SUM((B36*(1+C62)))</f>
        <v>-5544720</v>
      </c>
      <c r="D36" s="4">
        <f t="shared" si="34"/>
        <v>-5655614.4000000004</v>
      </c>
      <c r="E36" s="4">
        <f t="shared" si="34"/>
        <v>-5768726.6880000001</v>
      </c>
      <c r="F36" s="4">
        <f t="shared" si="34"/>
        <v>-5884101.2217600001</v>
      </c>
      <c r="G36" s="4">
        <f t="shared" si="34"/>
        <v>-6001783.2461951999</v>
      </c>
      <c r="H36" s="4">
        <f t="shared" si="34"/>
        <v>-6121818.9111191044</v>
      </c>
      <c r="I36" s="4">
        <f t="shared" si="34"/>
        <v>-6244255.289341487</v>
      </c>
      <c r="J36" s="4">
        <f t="shared" si="34"/>
        <v>-6369140.3951283172</v>
      </c>
      <c r="K36" s="54">
        <f t="shared" si="34"/>
        <v>-6496523.2030308833</v>
      </c>
      <c r="L36" s="16" t="s">
        <v>181</v>
      </c>
      <c r="M36" s="4">
        <f>SUM((K36*(1+M62)))</f>
        <v>-6626453.6670915009</v>
      </c>
      <c r="N36" s="4">
        <f t="shared" ref="N36:V36" si="35">SUM((M36*(1+N62)))</f>
        <v>-6758982.7404333306</v>
      </c>
      <c r="O36" s="4">
        <f t="shared" si="35"/>
        <v>-6894162.3952419972</v>
      </c>
      <c r="P36" s="4">
        <f t="shared" si="35"/>
        <v>-7032045.6431468371</v>
      </c>
      <c r="Q36" s="4">
        <f t="shared" si="35"/>
        <v>-7172686.5560097741</v>
      </c>
      <c r="R36" s="4">
        <f t="shared" si="35"/>
        <v>-7316140.2871299693</v>
      </c>
      <c r="S36" s="4">
        <f t="shared" si="35"/>
        <v>-7462463.0928725684</v>
      </c>
      <c r="T36" s="4">
        <f t="shared" si="35"/>
        <v>-7611712.3547300203</v>
      </c>
      <c r="U36" s="4">
        <f t="shared" si="35"/>
        <v>-7763946.6018246207</v>
      </c>
      <c r="V36" s="36">
        <f t="shared" si="35"/>
        <v>-7919225.5338611137</v>
      </c>
    </row>
    <row r="37" spans="1:24" s="3" customFormat="1" ht="12" customHeight="1" x14ac:dyDescent="0.25">
      <c r="A37" s="16" t="s">
        <v>38</v>
      </c>
      <c r="B37" s="11">
        <f t="shared" ref="B37:K37" si="36">SUM(B89)</f>
        <v>0</v>
      </c>
      <c r="C37" s="11">
        <f t="shared" si="36"/>
        <v>0</v>
      </c>
      <c r="D37" s="11">
        <f t="shared" si="36"/>
        <v>0</v>
      </c>
      <c r="E37" s="11">
        <f t="shared" si="36"/>
        <v>0</v>
      </c>
      <c r="F37" s="11">
        <f t="shared" si="36"/>
        <v>-115000</v>
      </c>
      <c r="G37" s="11">
        <f t="shared" si="36"/>
        <v>0</v>
      </c>
      <c r="H37" s="11">
        <f t="shared" si="36"/>
        <v>0</v>
      </c>
      <c r="I37" s="11">
        <f t="shared" si="36"/>
        <v>-13600</v>
      </c>
      <c r="J37" s="11">
        <f t="shared" si="36"/>
        <v>0</v>
      </c>
      <c r="K37" s="11">
        <f t="shared" si="36"/>
        <v>-115000</v>
      </c>
      <c r="L37" s="16" t="s">
        <v>38</v>
      </c>
      <c r="M37" s="11">
        <f t="shared" ref="M37:V37" si="37">SUM(M89)</f>
        <v>0</v>
      </c>
      <c r="N37" s="11">
        <f t="shared" si="37"/>
        <v>0</v>
      </c>
      <c r="O37" s="11">
        <f t="shared" si="37"/>
        <v>0</v>
      </c>
      <c r="P37" s="11">
        <f t="shared" si="37"/>
        <v>0</v>
      </c>
      <c r="Q37" s="11">
        <f t="shared" si="37"/>
        <v>-3253000</v>
      </c>
      <c r="R37" s="11">
        <f t="shared" si="37"/>
        <v>-13600</v>
      </c>
      <c r="S37" s="11">
        <f t="shared" si="37"/>
        <v>0</v>
      </c>
      <c r="T37" s="11">
        <f t="shared" si="37"/>
        <v>0</v>
      </c>
      <c r="U37" s="11">
        <f t="shared" si="37"/>
        <v>0</v>
      </c>
      <c r="V37" s="38">
        <f t="shared" si="37"/>
        <v>-929000</v>
      </c>
    </row>
    <row r="38" spans="1:24" s="3" customFormat="1" ht="15" customHeight="1" thickBot="1" x14ac:dyDescent="0.3">
      <c r="A38" s="65" t="s">
        <v>22</v>
      </c>
      <c r="B38" s="5">
        <f t="shared" ref="B38:K38" si="38">SUM(B33:B37)</f>
        <v>52124220.792000003</v>
      </c>
      <c r="C38" s="5">
        <f t="shared" si="38"/>
        <v>53249247.831785671</v>
      </c>
      <c r="D38" s="5">
        <f t="shared" si="38"/>
        <v>54386382.297974959</v>
      </c>
      <c r="E38" s="5">
        <f t="shared" si="38"/>
        <v>55564787.938051261</v>
      </c>
      <c r="F38" s="5">
        <f t="shared" si="38"/>
        <v>56646324.371654488</v>
      </c>
      <c r="G38" s="5">
        <f t="shared" si="38"/>
        <v>67963259.923349172</v>
      </c>
      <c r="H38" s="5">
        <f t="shared" si="38"/>
        <v>69433621.656225532</v>
      </c>
      <c r="I38" s="5">
        <f t="shared" si="38"/>
        <v>70916803.767723203</v>
      </c>
      <c r="J38" s="5">
        <f t="shared" si="38"/>
        <v>72454095.104848593</v>
      </c>
      <c r="K38" s="68">
        <f t="shared" si="38"/>
        <v>73890193.10612978</v>
      </c>
      <c r="L38" s="65" t="s">
        <v>22</v>
      </c>
      <c r="M38" s="5">
        <f t="shared" ref="M38:V38" si="39">SUM(M33:M37)</f>
        <v>75584203.937736914</v>
      </c>
      <c r="N38" s="5">
        <f t="shared" si="39"/>
        <v>77191642.631248072</v>
      </c>
      <c r="O38" s="5">
        <f t="shared" si="39"/>
        <v>78828033.223059684</v>
      </c>
      <c r="P38" s="5">
        <f t="shared" si="39"/>
        <v>80493908.895442083</v>
      </c>
      <c r="Q38" s="5">
        <f t="shared" si="39"/>
        <v>78936812.119237781</v>
      </c>
      <c r="R38" s="5">
        <f t="shared" si="39"/>
        <v>97909063.057965711</v>
      </c>
      <c r="S38" s="5">
        <f t="shared" si="39"/>
        <v>99960947.42143479</v>
      </c>
      <c r="T38" s="5">
        <f t="shared" si="39"/>
        <v>102036551.97171974</v>
      </c>
      <c r="U38" s="5">
        <f t="shared" si="39"/>
        <v>104150169.90892948</v>
      </c>
      <c r="V38" s="42">
        <f t="shared" si="39"/>
        <v>105373506.70161147</v>
      </c>
    </row>
    <row r="39" spans="1:24" s="3" customFormat="1" ht="19.899999999999999" customHeight="1" thickTop="1" x14ac:dyDescent="0.25">
      <c r="A39" s="189"/>
      <c r="B39" s="189"/>
      <c r="C39" s="189"/>
      <c r="D39" s="189"/>
      <c r="E39" s="189"/>
      <c r="F39" s="189"/>
      <c r="G39" s="189"/>
      <c r="H39" s="189"/>
      <c r="I39" s="189"/>
      <c r="J39" s="189"/>
      <c r="K39" s="189"/>
      <c r="L39" s="189"/>
      <c r="M39" s="189"/>
      <c r="N39" s="189"/>
      <c r="O39" s="189"/>
      <c r="P39" s="189"/>
      <c r="Q39" s="189"/>
      <c r="R39" s="189"/>
      <c r="S39" s="189"/>
      <c r="T39" s="189"/>
      <c r="U39" s="189"/>
      <c r="V39" s="189"/>
    </row>
    <row r="40" spans="1:24" s="1" customFormat="1" ht="15" customHeight="1" x14ac:dyDescent="0.2">
      <c r="A40" s="186" t="s">
        <v>27</v>
      </c>
      <c r="B40" s="187"/>
      <c r="C40" s="187"/>
      <c r="D40" s="187"/>
      <c r="E40" s="187"/>
      <c r="F40" s="187"/>
      <c r="G40" s="187"/>
      <c r="H40" s="187"/>
      <c r="I40" s="187"/>
      <c r="J40" s="187"/>
      <c r="K40" s="188"/>
      <c r="L40" s="186" t="s">
        <v>27</v>
      </c>
      <c r="M40" s="187"/>
      <c r="N40" s="187"/>
      <c r="O40" s="187"/>
      <c r="P40" s="187"/>
      <c r="Q40" s="187"/>
      <c r="R40" s="187"/>
      <c r="S40" s="187"/>
      <c r="T40" s="187"/>
      <c r="U40" s="187"/>
      <c r="V40" s="188"/>
      <c r="W40" s="2"/>
      <c r="X40" s="2"/>
    </row>
    <row r="41" spans="1:24" ht="12" customHeight="1" x14ac:dyDescent="0.2">
      <c r="A41" s="34" t="s">
        <v>21</v>
      </c>
      <c r="B41" s="11">
        <f>SUM(B18)</f>
        <v>63328207.920000002</v>
      </c>
      <c r="C41" s="11">
        <f t="shared" ref="C41:V41" si="40">SUM(C18)</f>
        <v>63881198.317856789</v>
      </c>
      <c r="D41" s="11">
        <f t="shared" si="40"/>
        <v>64357517.379749544</v>
      </c>
      <c r="E41" s="11">
        <f t="shared" si="40"/>
        <v>65044847.668512642</v>
      </c>
      <c r="F41" s="11">
        <f t="shared" si="40"/>
        <v>65707751.37030486</v>
      </c>
      <c r="G41" s="11">
        <f t="shared" si="40"/>
        <v>76274497.874289408</v>
      </c>
      <c r="H41" s="11">
        <f t="shared" si="40"/>
        <v>77452953.175868839</v>
      </c>
      <c r="I41" s="11">
        <f t="shared" si="40"/>
        <v>78641309.023117706</v>
      </c>
      <c r="J41" s="11">
        <f t="shared" si="40"/>
        <v>79839367.821289599</v>
      </c>
      <c r="K41" s="67">
        <f t="shared" si="40"/>
        <v>81046916.169557378</v>
      </c>
      <c r="L41" s="24" t="s">
        <v>21</v>
      </c>
      <c r="M41" s="11">
        <f t="shared" si="40"/>
        <v>82263724.187794119</v>
      </c>
      <c r="N41" s="11">
        <f t="shared" si="40"/>
        <v>83489544.819113985</v>
      </c>
      <c r="O41" s="11">
        <f t="shared" si="40"/>
        <v>84724113.107362852</v>
      </c>
      <c r="P41" s="11">
        <f t="shared" si="40"/>
        <v>85967145.448722392</v>
      </c>
      <c r="Q41" s="11">
        <f t="shared" si="40"/>
        <v>87218338.816565007</v>
      </c>
      <c r="R41" s="11">
        <f t="shared" si="40"/>
        <v>102458821.31786072</v>
      </c>
      <c r="S41" s="11">
        <f t="shared" si="40"/>
        <v>104010308.7673154</v>
      </c>
      <c r="T41" s="11">
        <f t="shared" si="40"/>
        <v>105574570.96122442</v>
      </c>
      <c r="U41" s="11">
        <f t="shared" si="40"/>
        <v>107151331.35820225</v>
      </c>
      <c r="V41" s="35">
        <f t="shared" si="40"/>
        <v>108740291.93040036</v>
      </c>
      <c r="W41" s="3"/>
      <c r="X41" s="3"/>
    </row>
    <row r="42" spans="1:24" s="3" customFormat="1" ht="12" customHeight="1" x14ac:dyDescent="0.25">
      <c r="A42" s="24" t="s">
        <v>22</v>
      </c>
      <c r="B42" s="4">
        <f>SUM(B38)</f>
        <v>52124220.792000003</v>
      </c>
      <c r="C42" s="4">
        <f t="shared" ref="C42:V42" si="41">SUM(C38)</f>
        <v>53249247.831785671</v>
      </c>
      <c r="D42" s="4">
        <f t="shared" si="41"/>
        <v>54386382.297974959</v>
      </c>
      <c r="E42" s="4">
        <f t="shared" si="41"/>
        <v>55564787.938051261</v>
      </c>
      <c r="F42" s="4">
        <f t="shared" si="41"/>
        <v>56646324.371654488</v>
      </c>
      <c r="G42" s="4">
        <f t="shared" si="41"/>
        <v>67963259.923349172</v>
      </c>
      <c r="H42" s="4">
        <f t="shared" si="41"/>
        <v>69433621.656225532</v>
      </c>
      <c r="I42" s="4">
        <f t="shared" si="41"/>
        <v>70916803.767723203</v>
      </c>
      <c r="J42" s="4">
        <f t="shared" si="41"/>
        <v>72454095.104848593</v>
      </c>
      <c r="K42" s="54">
        <f t="shared" si="41"/>
        <v>73890193.10612978</v>
      </c>
      <c r="L42" s="24" t="s">
        <v>22</v>
      </c>
      <c r="M42" s="4">
        <f t="shared" si="41"/>
        <v>75584203.937736914</v>
      </c>
      <c r="N42" s="4">
        <f t="shared" si="41"/>
        <v>77191642.631248072</v>
      </c>
      <c r="O42" s="4">
        <f t="shared" si="41"/>
        <v>78828033.223059684</v>
      </c>
      <c r="P42" s="4">
        <f t="shared" si="41"/>
        <v>80493908.895442083</v>
      </c>
      <c r="Q42" s="4">
        <f t="shared" si="41"/>
        <v>78936812.119237781</v>
      </c>
      <c r="R42" s="4">
        <f t="shared" si="41"/>
        <v>97909063.057965711</v>
      </c>
      <c r="S42" s="4">
        <f t="shared" si="41"/>
        <v>99960947.42143479</v>
      </c>
      <c r="T42" s="4">
        <f t="shared" si="41"/>
        <v>102036551.97171974</v>
      </c>
      <c r="U42" s="4">
        <f t="shared" si="41"/>
        <v>104150169.90892948</v>
      </c>
      <c r="V42" s="36">
        <f t="shared" si="41"/>
        <v>105373506.70161147</v>
      </c>
      <c r="W42" s="29"/>
      <c r="X42" s="29"/>
    </row>
    <row r="43" spans="1:24" s="29" customFormat="1" ht="18" customHeight="1" thickBot="1" x14ac:dyDescent="0.3">
      <c r="A43" s="65" t="s">
        <v>23</v>
      </c>
      <c r="B43" s="28">
        <f>SUM(B41-B42)</f>
        <v>11203987.127999999</v>
      </c>
      <c r="C43" s="28">
        <f t="shared" ref="C43:V43" si="42">SUM(C41-C42)</f>
        <v>10631950.486071117</v>
      </c>
      <c r="D43" s="28">
        <f t="shared" si="42"/>
        <v>9971135.0817745849</v>
      </c>
      <c r="E43" s="28">
        <f t="shared" si="42"/>
        <v>9480059.7304613814</v>
      </c>
      <c r="F43" s="28">
        <f t="shared" si="42"/>
        <v>9061426.998650372</v>
      </c>
      <c r="G43" s="28">
        <f t="shared" si="42"/>
        <v>8311237.9509402364</v>
      </c>
      <c r="H43" s="28">
        <f t="shared" si="42"/>
        <v>8019331.5196433067</v>
      </c>
      <c r="I43" s="28">
        <f t="shared" si="42"/>
        <v>7724505.2553945035</v>
      </c>
      <c r="J43" s="28">
        <f t="shared" si="42"/>
        <v>7385272.7164410055</v>
      </c>
      <c r="K43" s="28">
        <f t="shared" si="42"/>
        <v>7156723.0634275973</v>
      </c>
      <c r="L43" s="17" t="s">
        <v>132</v>
      </c>
      <c r="M43" s="28">
        <f t="shared" si="42"/>
        <v>6679520.2500572056</v>
      </c>
      <c r="N43" s="28">
        <f t="shared" si="42"/>
        <v>6297902.1878659129</v>
      </c>
      <c r="O43" s="28">
        <f t="shared" si="42"/>
        <v>5896079.8843031675</v>
      </c>
      <c r="P43" s="28">
        <f t="shared" si="42"/>
        <v>5473236.5532803088</v>
      </c>
      <c r="Q43" s="28">
        <f t="shared" si="42"/>
        <v>8281526.6973272264</v>
      </c>
      <c r="R43" s="28">
        <f t="shared" si="42"/>
        <v>4549758.2598950118</v>
      </c>
      <c r="S43" s="28">
        <f t="shared" si="42"/>
        <v>4049361.3458806127</v>
      </c>
      <c r="T43" s="28">
        <f t="shared" si="42"/>
        <v>3538018.98950468</v>
      </c>
      <c r="U43" s="28">
        <f t="shared" si="42"/>
        <v>3001161.4492727667</v>
      </c>
      <c r="V43" s="37">
        <f t="shared" si="42"/>
        <v>3366785.2287888825</v>
      </c>
    </row>
    <row r="44" spans="1:24" s="59" customFormat="1" ht="16.149999999999999" customHeight="1" thickTop="1" x14ac:dyDescent="0.25">
      <c r="A44" s="55" t="s">
        <v>171</v>
      </c>
      <c r="B44" s="56">
        <f>SUM(B43)</f>
        <v>11203987.127999999</v>
      </c>
      <c r="C44" s="57">
        <f>SUM(B44+C43)</f>
        <v>21835937.614071116</v>
      </c>
      <c r="D44" s="57">
        <f t="shared" ref="D44:V44" si="43">SUM(C44+D43)</f>
        <v>31807072.695845701</v>
      </c>
      <c r="E44" s="57">
        <f t="shared" si="43"/>
        <v>41287132.426307082</v>
      </c>
      <c r="F44" s="57">
        <f t="shared" si="43"/>
        <v>50348559.424957454</v>
      </c>
      <c r="G44" s="57">
        <f t="shared" si="43"/>
        <v>58659797.375897691</v>
      </c>
      <c r="H44" s="57">
        <f t="shared" si="43"/>
        <v>66679128.895540997</v>
      </c>
      <c r="I44" s="57">
        <f t="shared" si="43"/>
        <v>74403634.150935501</v>
      </c>
      <c r="J44" s="57">
        <f t="shared" si="43"/>
        <v>81788906.867376506</v>
      </c>
      <c r="K44" s="70">
        <f t="shared" si="43"/>
        <v>88945629.930804104</v>
      </c>
      <c r="L44" s="55" t="s">
        <v>171</v>
      </c>
      <c r="M44" s="57">
        <f>SUM(K44+M43)</f>
        <v>95625150.180861309</v>
      </c>
      <c r="N44" s="57">
        <f t="shared" si="43"/>
        <v>101923052.36872722</v>
      </c>
      <c r="O44" s="57">
        <f t="shared" si="43"/>
        <v>107819132.25303039</v>
      </c>
      <c r="P44" s="57">
        <f t="shared" si="43"/>
        <v>113292368.8063107</v>
      </c>
      <c r="Q44" s="57">
        <f t="shared" si="43"/>
        <v>121573895.50363792</v>
      </c>
      <c r="R44" s="57">
        <f t="shared" si="43"/>
        <v>126123653.76353294</v>
      </c>
      <c r="S44" s="57">
        <f t="shared" si="43"/>
        <v>130173015.10941355</v>
      </c>
      <c r="T44" s="57">
        <f t="shared" si="43"/>
        <v>133711034.09891823</v>
      </c>
      <c r="U44" s="57">
        <f t="shared" si="43"/>
        <v>136712195.54819101</v>
      </c>
      <c r="V44" s="58">
        <f t="shared" si="43"/>
        <v>140078980.77697989</v>
      </c>
    </row>
    <row r="45" spans="1:24" s="59" customFormat="1" ht="16.149999999999999" customHeight="1" x14ac:dyDescent="0.25">
      <c r="A45" s="72"/>
      <c r="B45" s="56"/>
      <c r="C45" s="57" t="s">
        <v>0</v>
      </c>
      <c r="D45" s="57"/>
      <c r="E45" s="57"/>
      <c r="F45" s="57"/>
      <c r="G45" s="57"/>
      <c r="H45" s="57"/>
      <c r="I45" s="57"/>
      <c r="J45" s="57"/>
      <c r="K45" s="70" t="s">
        <v>0</v>
      </c>
      <c r="L45" s="72"/>
      <c r="M45" s="57"/>
      <c r="N45" s="57"/>
      <c r="O45" s="57"/>
      <c r="P45" s="57"/>
      <c r="Q45" s="57"/>
      <c r="R45" s="57"/>
      <c r="S45" s="57"/>
      <c r="T45" s="57"/>
      <c r="U45" s="57"/>
      <c r="V45" s="70"/>
    </row>
    <row r="46" spans="1:24" s="59" customFormat="1" ht="16.149999999999999" customHeight="1" x14ac:dyDescent="0.25">
      <c r="A46" s="72"/>
      <c r="B46" s="56"/>
      <c r="C46" s="57"/>
      <c r="D46" s="57"/>
      <c r="E46" s="57"/>
      <c r="F46" s="57"/>
      <c r="G46" s="57"/>
      <c r="H46" s="57"/>
      <c r="I46" s="57"/>
      <c r="J46" s="57"/>
      <c r="K46" s="70"/>
      <c r="L46" s="72"/>
      <c r="M46" s="57"/>
      <c r="N46" s="57"/>
      <c r="O46" s="57"/>
      <c r="P46" s="57"/>
      <c r="Q46" s="57"/>
      <c r="R46" s="57"/>
      <c r="S46" s="57"/>
      <c r="T46" s="57"/>
      <c r="U46" s="57"/>
      <c r="V46" s="70"/>
    </row>
    <row r="47" spans="1:24" s="59" customFormat="1" ht="16.149999999999999" customHeight="1" x14ac:dyDescent="0.25">
      <c r="A47" s="72"/>
      <c r="B47" s="56"/>
      <c r="C47" s="57"/>
      <c r="D47" s="57"/>
      <c r="E47" s="57"/>
      <c r="F47" s="57"/>
      <c r="G47" s="57"/>
      <c r="H47" s="57"/>
      <c r="I47" s="57"/>
      <c r="J47" s="57"/>
      <c r="K47" s="70"/>
      <c r="L47" s="72"/>
      <c r="M47" s="57"/>
      <c r="N47" s="57"/>
      <c r="O47" s="57"/>
      <c r="P47" s="57"/>
      <c r="Q47" s="57"/>
      <c r="R47" s="57"/>
      <c r="S47" s="57"/>
      <c r="T47" s="57"/>
      <c r="U47" s="57"/>
      <c r="V47" s="70"/>
    </row>
    <row r="48" spans="1:24" s="3" customFormat="1" ht="15" customHeight="1" x14ac:dyDescent="0.2">
      <c r="A48" s="2"/>
      <c r="B48" s="6"/>
      <c r="L48" s="2"/>
      <c r="W48" s="2"/>
      <c r="X48" s="2"/>
    </row>
    <row r="49" spans="1:24" ht="14.45" customHeight="1" x14ac:dyDescent="0.2">
      <c r="A49" s="140" t="s">
        <v>137</v>
      </c>
      <c r="B49" s="73"/>
      <c r="C49" s="74"/>
      <c r="D49" s="74"/>
      <c r="E49" s="74"/>
      <c r="F49" s="74"/>
      <c r="G49" s="74"/>
      <c r="H49" s="74"/>
      <c r="I49" s="74"/>
      <c r="J49" s="74"/>
      <c r="K49" s="75"/>
      <c r="L49" s="140" t="s">
        <v>137</v>
      </c>
      <c r="M49" s="74"/>
      <c r="N49" s="74"/>
      <c r="O49" s="74"/>
      <c r="P49" s="74"/>
      <c r="Q49" s="74"/>
      <c r="R49" s="74"/>
      <c r="S49" s="74"/>
      <c r="T49" s="74"/>
      <c r="U49" s="74"/>
      <c r="V49" s="75"/>
      <c r="W49" s="22"/>
      <c r="X49" s="22"/>
    </row>
    <row r="50" spans="1:24" s="3" customFormat="1" ht="12" customHeight="1" x14ac:dyDescent="0.25">
      <c r="A50" s="76" t="s">
        <v>121</v>
      </c>
      <c r="B50" s="77">
        <v>17800000</v>
      </c>
      <c r="C50" s="77">
        <f>SUM(B50*1.02)</f>
        <v>18156000</v>
      </c>
      <c r="D50" s="77">
        <f>SUM(C50*1.02)</f>
        <v>18519120</v>
      </c>
      <c r="E50" s="77">
        <f t="shared" ref="E50:V50" si="44">SUM(D50*1.02)</f>
        <v>18889502.399999999</v>
      </c>
      <c r="F50" s="77">
        <f t="shared" si="44"/>
        <v>19267292.447999999</v>
      </c>
      <c r="G50" s="77">
        <f t="shared" si="44"/>
        <v>19652638.29696</v>
      </c>
      <c r="H50" s="77">
        <f t="shared" si="44"/>
        <v>20045691.062899202</v>
      </c>
      <c r="I50" s="77">
        <f t="shared" si="44"/>
        <v>20446604.884157188</v>
      </c>
      <c r="J50" s="77">
        <f t="shared" si="44"/>
        <v>20855536.981840331</v>
      </c>
      <c r="K50" s="78">
        <f t="shared" si="44"/>
        <v>21272647.72147714</v>
      </c>
      <c r="L50" s="76" t="s">
        <v>121</v>
      </c>
      <c r="M50" s="54">
        <f>SUM(K50*1.02)</f>
        <v>21698100.675906684</v>
      </c>
      <c r="N50" s="54">
        <f t="shared" si="44"/>
        <v>22132062.689424817</v>
      </c>
      <c r="O50" s="54">
        <f t="shared" si="44"/>
        <v>22574703.943213314</v>
      </c>
      <c r="P50" s="54">
        <f t="shared" si="44"/>
        <v>23026198.022077579</v>
      </c>
      <c r="Q50" s="54">
        <f t="shared" si="44"/>
        <v>23486721.982519131</v>
      </c>
      <c r="R50" s="54">
        <f t="shared" si="44"/>
        <v>23956456.422169514</v>
      </c>
      <c r="S50" s="54">
        <f t="shared" si="44"/>
        <v>24435585.550612904</v>
      </c>
      <c r="T50" s="54">
        <f t="shared" si="44"/>
        <v>24924297.261625163</v>
      </c>
      <c r="U50" s="54">
        <f t="shared" si="44"/>
        <v>25422783.206857666</v>
      </c>
      <c r="V50" s="36">
        <f t="shared" si="44"/>
        <v>25931238.870994821</v>
      </c>
    </row>
    <row r="51" spans="1:24" s="3" customFormat="1" ht="12" customHeight="1" x14ac:dyDescent="0.2">
      <c r="A51" s="76" t="s">
        <v>122</v>
      </c>
      <c r="B51" s="79">
        <v>3.39</v>
      </c>
      <c r="C51" s="79">
        <f>SUM(B51)</f>
        <v>3.39</v>
      </c>
      <c r="D51" s="79">
        <f t="shared" ref="D51:F51" si="45">SUM(C51)</f>
        <v>3.39</v>
      </c>
      <c r="E51" s="79">
        <f t="shared" si="45"/>
        <v>3.39</v>
      </c>
      <c r="F51" s="79">
        <f t="shared" si="45"/>
        <v>3.39</v>
      </c>
      <c r="G51" s="79">
        <f>SUM(F51*1.15)</f>
        <v>3.8984999999999999</v>
      </c>
      <c r="H51" s="79">
        <f>SUM(G51)</f>
        <v>3.8984999999999999</v>
      </c>
      <c r="I51" s="79">
        <f t="shared" ref="I51:K51" si="46">SUM(H51)</f>
        <v>3.8984999999999999</v>
      </c>
      <c r="J51" s="79">
        <f t="shared" si="46"/>
        <v>3.8984999999999999</v>
      </c>
      <c r="K51" s="80">
        <f t="shared" si="46"/>
        <v>3.8984999999999999</v>
      </c>
      <c r="L51" s="76" t="s">
        <v>122</v>
      </c>
      <c r="M51" s="89">
        <f>SUM(K51)</f>
        <v>3.8984999999999999</v>
      </c>
      <c r="N51" s="89">
        <f>SUM(M51)</f>
        <v>3.8984999999999999</v>
      </c>
      <c r="O51" s="89">
        <f t="shared" ref="O51:Q51" si="47">SUM(N51)</f>
        <v>3.8984999999999999</v>
      </c>
      <c r="P51" s="89">
        <f t="shared" si="47"/>
        <v>3.8984999999999999</v>
      </c>
      <c r="Q51" s="89">
        <f t="shared" si="47"/>
        <v>3.8984999999999999</v>
      </c>
      <c r="R51" s="89">
        <f>SUM(Q51*1.15)</f>
        <v>4.4832749999999999</v>
      </c>
      <c r="S51" s="89">
        <f>SUM(R51)</f>
        <v>4.4832749999999999</v>
      </c>
      <c r="T51" s="89">
        <f t="shared" ref="T51:V51" si="48">SUM(S51)</f>
        <v>4.4832749999999999</v>
      </c>
      <c r="U51" s="89">
        <f t="shared" si="48"/>
        <v>4.4832749999999999</v>
      </c>
      <c r="V51" s="90">
        <f t="shared" si="48"/>
        <v>4.4832749999999999</v>
      </c>
      <c r="W51" s="23"/>
      <c r="X51" s="23"/>
    </row>
    <row r="52" spans="1:24" s="3" customFormat="1" ht="12" customHeight="1" x14ac:dyDescent="0.2">
      <c r="A52" s="76" t="s">
        <v>124</v>
      </c>
      <c r="B52" s="50">
        <v>0.73</v>
      </c>
      <c r="C52" s="50">
        <f>B52</f>
        <v>0.73</v>
      </c>
      <c r="D52" s="50">
        <f t="shared" ref="D52:K52" si="49">C52</f>
        <v>0.73</v>
      </c>
      <c r="E52" s="50">
        <f t="shared" si="49"/>
        <v>0.73</v>
      </c>
      <c r="F52" s="50">
        <f t="shared" si="49"/>
        <v>0.73</v>
      </c>
      <c r="G52" s="50">
        <f t="shared" si="49"/>
        <v>0.73</v>
      </c>
      <c r="H52" s="50">
        <f t="shared" si="49"/>
        <v>0.73</v>
      </c>
      <c r="I52" s="50">
        <f t="shared" si="49"/>
        <v>0.73</v>
      </c>
      <c r="J52" s="50">
        <f t="shared" si="49"/>
        <v>0.73</v>
      </c>
      <c r="K52" s="50">
        <f t="shared" si="49"/>
        <v>0.73</v>
      </c>
      <c r="L52" s="76" t="s">
        <v>124</v>
      </c>
      <c r="M52" s="50">
        <f>K52</f>
        <v>0.73</v>
      </c>
      <c r="N52" s="50">
        <f>M52</f>
        <v>0.73</v>
      </c>
      <c r="O52" s="50">
        <f t="shared" ref="O52:V52" si="50">N52</f>
        <v>0.73</v>
      </c>
      <c r="P52" s="50">
        <f t="shared" si="50"/>
        <v>0.73</v>
      </c>
      <c r="Q52" s="50">
        <f t="shared" si="50"/>
        <v>0.73</v>
      </c>
      <c r="R52" s="50">
        <f t="shared" si="50"/>
        <v>0.73</v>
      </c>
      <c r="S52" s="50">
        <f t="shared" si="50"/>
        <v>0.73</v>
      </c>
      <c r="T52" s="50">
        <f t="shared" si="50"/>
        <v>0.73</v>
      </c>
      <c r="U52" s="50">
        <f t="shared" si="50"/>
        <v>0.73</v>
      </c>
      <c r="V52" s="50">
        <f t="shared" si="50"/>
        <v>0.73</v>
      </c>
      <c r="W52" s="23"/>
      <c r="X52" s="23"/>
    </row>
    <row r="53" spans="1:24" s="3" customFormat="1" ht="12" customHeight="1" x14ac:dyDescent="0.2">
      <c r="A53" s="76" t="s">
        <v>123</v>
      </c>
      <c r="B53" s="50">
        <v>0.27</v>
      </c>
      <c r="C53" s="50">
        <f>B53</f>
        <v>0.27</v>
      </c>
      <c r="D53" s="50">
        <f t="shared" ref="D53:K53" si="51">C53</f>
        <v>0.27</v>
      </c>
      <c r="E53" s="50">
        <f t="shared" si="51"/>
        <v>0.27</v>
      </c>
      <c r="F53" s="50">
        <f t="shared" si="51"/>
        <v>0.27</v>
      </c>
      <c r="G53" s="50">
        <f t="shared" si="51"/>
        <v>0.27</v>
      </c>
      <c r="H53" s="50">
        <f t="shared" si="51"/>
        <v>0.27</v>
      </c>
      <c r="I53" s="50">
        <f t="shared" si="51"/>
        <v>0.27</v>
      </c>
      <c r="J53" s="50">
        <f t="shared" si="51"/>
        <v>0.27</v>
      </c>
      <c r="K53" s="50">
        <f t="shared" si="51"/>
        <v>0.27</v>
      </c>
      <c r="L53" s="76" t="s">
        <v>123</v>
      </c>
      <c r="M53" s="50">
        <f>K53</f>
        <v>0.27</v>
      </c>
      <c r="N53" s="50">
        <f>M53</f>
        <v>0.27</v>
      </c>
      <c r="O53" s="50">
        <f t="shared" ref="O53:V53" si="52">N53</f>
        <v>0.27</v>
      </c>
      <c r="P53" s="50">
        <f t="shared" si="52"/>
        <v>0.27</v>
      </c>
      <c r="Q53" s="50">
        <f t="shared" si="52"/>
        <v>0.27</v>
      </c>
      <c r="R53" s="50">
        <f t="shared" si="52"/>
        <v>0.27</v>
      </c>
      <c r="S53" s="50">
        <f t="shared" si="52"/>
        <v>0.27</v>
      </c>
      <c r="T53" s="50">
        <f t="shared" si="52"/>
        <v>0.27</v>
      </c>
      <c r="U53" s="50">
        <f t="shared" si="52"/>
        <v>0.27</v>
      </c>
      <c r="V53" s="50">
        <f t="shared" si="52"/>
        <v>0.27</v>
      </c>
      <c r="W53" s="23"/>
      <c r="X53" s="23"/>
    </row>
    <row r="54" spans="1:24" s="23" customFormat="1" ht="13.9" customHeight="1" x14ac:dyDescent="0.2">
      <c r="A54" s="81" t="s">
        <v>125</v>
      </c>
      <c r="B54" s="50">
        <v>0.76</v>
      </c>
      <c r="C54" s="51">
        <f>SUM(B54*1.03)</f>
        <v>0.78280000000000005</v>
      </c>
      <c r="D54" s="51">
        <f>SUM(C54*1.03)</f>
        <v>0.80628400000000011</v>
      </c>
      <c r="E54" s="51">
        <f>SUM(D54*1.02)</f>
        <v>0.82240968000000014</v>
      </c>
      <c r="F54" s="51">
        <f>SUM(E54*1.02)</f>
        <v>0.83885787360000019</v>
      </c>
      <c r="G54" s="51">
        <f>SUM(F54*1.02)</f>
        <v>0.85563503107200023</v>
      </c>
      <c r="H54" s="51">
        <f>SUM(G54*1.01)</f>
        <v>0.86419138138272023</v>
      </c>
      <c r="I54" s="51">
        <f t="shared" ref="I54:K54" si="53">SUM(H54*1.01)</f>
        <v>0.8728332951965474</v>
      </c>
      <c r="J54" s="51">
        <f t="shared" si="53"/>
        <v>0.88156162814851291</v>
      </c>
      <c r="K54" s="47">
        <f t="shared" si="53"/>
        <v>0.89037724442999799</v>
      </c>
      <c r="L54" s="81" t="s">
        <v>125</v>
      </c>
      <c r="M54" s="51">
        <f>SUM(K54*1.01)</f>
        <v>0.89928101687429796</v>
      </c>
      <c r="N54" s="51">
        <f>SUM(M54*1.01)</f>
        <v>0.90827382704304094</v>
      </c>
      <c r="O54" s="51">
        <f>SUM(N54*1.01)</f>
        <v>0.91735656531347132</v>
      </c>
      <c r="P54" s="51">
        <f t="shared" ref="P54:V54" si="54">SUM(O54*1.01)</f>
        <v>0.92653013096660608</v>
      </c>
      <c r="Q54" s="51">
        <f t="shared" si="54"/>
        <v>0.93579543227627215</v>
      </c>
      <c r="R54" s="51">
        <f t="shared" si="54"/>
        <v>0.94515338659903492</v>
      </c>
      <c r="S54" s="51">
        <f t="shared" si="54"/>
        <v>0.95460492046502532</v>
      </c>
      <c r="T54" s="51">
        <f t="shared" si="54"/>
        <v>0.96415096966967562</v>
      </c>
      <c r="U54" s="51">
        <f t="shared" si="54"/>
        <v>0.97379247936637237</v>
      </c>
      <c r="V54" s="47">
        <f t="shared" si="54"/>
        <v>0.98353040416003612</v>
      </c>
    </row>
    <row r="55" spans="1:24" s="23" customFormat="1" ht="13.9" customHeight="1" x14ac:dyDescent="0.2">
      <c r="A55" s="81" t="s">
        <v>126</v>
      </c>
      <c r="B55" s="50">
        <v>0.24</v>
      </c>
      <c r="C55" s="51">
        <f t="shared" ref="C55:K55" si="55">SUM(1-C54)</f>
        <v>0.21719999999999995</v>
      </c>
      <c r="D55" s="51">
        <f t="shared" si="55"/>
        <v>0.19371599999999989</v>
      </c>
      <c r="E55" s="51">
        <f t="shared" si="55"/>
        <v>0.17759031999999986</v>
      </c>
      <c r="F55" s="51">
        <f t="shared" si="55"/>
        <v>0.16114212639999981</v>
      </c>
      <c r="G55" s="51">
        <f t="shared" si="55"/>
        <v>0.14436496892799977</v>
      </c>
      <c r="H55" s="51">
        <f t="shared" si="55"/>
        <v>0.13580861861727977</v>
      </c>
      <c r="I55" s="51">
        <f t="shared" si="55"/>
        <v>0.1271667048034526</v>
      </c>
      <c r="J55" s="51">
        <f t="shared" si="55"/>
        <v>0.11843837185148709</v>
      </c>
      <c r="K55" s="47">
        <f t="shared" si="55"/>
        <v>0.10962275557000201</v>
      </c>
      <c r="L55" s="81" t="s">
        <v>126</v>
      </c>
      <c r="M55" s="51">
        <f t="shared" ref="M55:V55" si="56">SUM(1-M54)</f>
        <v>0.10071898312570204</v>
      </c>
      <c r="N55" s="51">
        <f t="shared" si="56"/>
        <v>9.1726172956959062E-2</v>
      </c>
      <c r="O55" s="51">
        <f t="shared" si="56"/>
        <v>8.2643434686528683E-2</v>
      </c>
      <c r="P55" s="51">
        <f t="shared" si="56"/>
        <v>7.346986903339392E-2</v>
      </c>
      <c r="Q55" s="51">
        <f t="shared" si="56"/>
        <v>6.4204567723727846E-2</v>
      </c>
      <c r="R55" s="51">
        <f t="shared" si="56"/>
        <v>5.4846613400965083E-2</v>
      </c>
      <c r="S55" s="51">
        <f t="shared" si="56"/>
        <v>4.5395079534974681E-2</v>
      </c>
      <c r="T55" s="51">
        <f t="shared" si="56"/>
        <v>3.5849030330324383E-2</v>
      </c>
      <c r="U55" s="51">
        <f t="shared" si="56"/>
        <v>2.6207520633627635E-2</v>
      </c>
      <c r="V55" s="47">
        <f t="shared" si="56"/>
        <v>1.646959583996388E-2</v>
      </c>
      <c r="W55" s="19"/>
      <c r="X55" s="19"/>
    </row>
    <row r="56" spans="1:24" s="23" customFormat="1" ht="13.9" customHeight="1" x14ac:dyDescent="0.2">
      <c r="A56" s="76" t="s">
        <v>127</v>
      </c>
      <c r="B56" s="50">
        <v>0.05</v>
      </c>
      <c r="C56" s="50">
        <f>SUM(B56)</f>
        <v>0.05</v>
      </c>
      <c r="D56" s="50">
        <f t="shared" ref="D56:K56" si="57">SUM(C56)</f>
        <v>0.05</v>
      </c>
      <c r="E56" s="50">
        <f t="shared" si="57"/>
        <v>0.05</v>
      </c>
      <c r="F56" s="50">
        <f t="shared" si="57"/>
        <v>0.05</v>
      </c>
      <c r="G56" s="50">
        <f t="shared" si="57"/>
        <v>0.05</v>
      </c>
      <c r="H56" s="50">
        <f t="shared" si="57"/>
        <v>0.05</v>
      </c>
      <c r="I56" s="50">
        <f t="shared" si="57"/>
        <v>0.05</v>
      </c>
      <c r="J56" s="50">
        <f t="shared" si="57"/>
        <v>0.05</v>
      </c>
      <c r="K56" s="49">
        <f t="shared" si="57"/>
        <v>0.05</v>
      </c>
      <c r="L56" s="76" t="s">
        <v>127</v>
      </c>
      <c r="M56" s="50">
        <f>SUM(K56)</f>
        <v>0.05</v>
      </c>
      <c r="N56" s="50">
        <f>SUM(M56)</f>
        <v>0.05</v>
      </c>
      <c r="O56" s="50">
        <f t="shared" ref="O56:V56" si="58">SUM(N56)</f>
        <v>0.05</v>
      </c>
      <c r="P56" s="50">
        <f t="shared" si="58"/>
        <v>0.05</v>
      </c>
      <c r="Q56" s="50">
        <f t="shared" si="58"/>
        <v>0.05</v>
      </c>
      <c r="R56" s="50">
        <f t="shared" si="58"/>
        <v>0.05</v>
      </c>
      <c r="S56" s="50">
        <f t="shared" si="58"/>
        <v>0.05</v>
      </c>
      <c r="T56" s="50">
        <f t="shared" si="58"/>
        <v>0.05</v>
      </c>
      <c r="U56" s="50">
        <f t="shared" si="58"/>
        <v>0.05</v>
      </c>
      <c r="V56" s="50">
        <f t="shared" si="58"/>
        <v>0.05</v>
      </c>
      <c r="W56" s="19"/>
      <c r="X56" s="19"/>
    </row>
    <row r="57" spans="1:24" s="23" customFormat="1" ht="13.9" customHeight="1" x14ac:dyDescent="0.2">
      <c r="A57" s="76" t="s">
        <v>128</v>
      </c>
      <c r="B57" s="50">
        <v>0.1</v>
      </c>
      <c r="C57" s="50">
        <f>SUM(B57)</f>
        <v>0.1</v>
      </c>
      <c r="D57" s="50">
        <f t="shared" ref="D57:K57" si="59">SUM(C57)</f>
        <v>0.1</v>
      </c>
      <c r="E57" s="50">
        <f t="shared" si="59"/>
        <v>0.1</v>
      </c>
      <c r="F57" s="50">
        <f t="shared" si="59"/>
        <v>0.1</v>
      </c>
      <c r="G57" s="50">
        <f t="shared" si="59"/>
        <v>0.1</v>
      </c>
      <c r="H57" s="50">
        <f t="shared" si="59"/>
        <v>0.1</v>
      </c>
      <c r="I57" s="50">
        <f t="shared" si="59"/>
        <v>0.1</v>
      </c>
      <c r="J57" s="50">
        <f t="shared" si="59"/>
        <v>0.1</v>
      </c>
      <c r="K57" s="50">
        <f t="shared" si="59"/>
        <v>0.1</v>
      </c>
      <c r="L57" s="76" t="s">
        <v>128</v>
      </c>
      <c r="M57" s="50">
        <f>SUM(K57)</f>
        <v>0.1</v>
      </c>
      <c r="N57" s="50">
        <f>SUM(M57)</f>
        <v>0.1</v>
      </c>
      <c r="O57" s="50">
        <f t="shared" ref="O57:V57" si="60">SUM(N57)</f>
        <v>0.1</v>
      </c>
      <c r="P57" s="50">
        <f t="shared" si="60"/>
        <v>0.1</v>
      </c>
      <c r="Q57" s="50">
        <f t="shared" si="60"/>
        <v>0.1</v>
      </c>
      <c r="R57" s="50">
        <f t="shared" si="60"/>
        <v>0.1</v>
      </c>
      <c r="S57" s="50">
        <f t="shared" si="60"/>
        <v>0.1</v>
      </c>
      <c r="T57" s="50">
        <f t="shared" si="60"/>
        <v>0.1</v>
      </c>
      <c r="U57" s="50">
        <f t="shared" si="60"/>
        <v>0.1</v>
      </c>
      <c r="V57" s="50">
        <f t="shared" si="60"/>
        <v>0.1</v>
      </c>
      <c r="W57" s="19"/>
      <c r="X57" s="19"/>
    </row>
    <row r="58" spans="1:24" s="23" customFormat="1" ht="13.9" customHeight="1" x14ac:dyDescent="0.2">
      <c r="A58" s="82" t="s">
        <v>170</v>
      </c>
      <c r="B58" s="83">
        <v>1</v>
      </c>
      <c r="C58" s="83">
        <f>B58</f>
        <v>1</v>
      </c>
      <c r="D58" s="83">
        <f>C58</f>
        <v>1</v>
      </c>
      <c r="E58" s="83">
        <f t="shared" ref="E58:J58" si="61">D58</f>
        <v>1</v>
      </c>
      <c r="F58" s="83">
        <f t="shared" si="61"/>
        <v>1</v>
      </c>
      <c r="G58" s="83">
        <f t="shared" si="61"/>
        <v>1</v>
      </c>
      <c r="H58" s="83">
        <f t="shared" si="61"/>
        <v>1</v>
      </c>
      <c r="I58" s="83">
        <f t="shared" si="61"/>
        <v>1</v>
      </c>
      <c r="J58" s="83">
        <f t="shared" si="61"/>
        <v>1</v>
      </c>
      <c r="K58" s="84">
        <v>1</v>
      </c>
      <c r="L58" s="82" t="s">
        <v>170</v>
      </c>
      <c r="M58" s="52">
        <f>K58</f>
        <v>1</v>
      </c>
      <c r="N58" s="52">
        <f>M58</f>
        <v>1</v>
      </c>
      <c r="O58" s="52">
        <f t="shared" ref="O58:V58" si="62">N58</f>
        <v>1</v>
      </c>
      <c r="P58" s="52">
        <f t="shared" si="62"/>
        <v>1</v>
      </c>
      <c r="Q58" s="52">
        <f t="shared" si="62"/>
        <v>1</v>
      </c>
      <c r="R58" s="52">
        <f t="shared" si="62"/>
        <v>1</v>
      </c>
      <c r="S58" s="52">
        <f t="shared" si="62"/>
        <v>1</v>
      </c>
      <c r="T58" s="52">
        <f t="shared" si="62"/>
        <v>1</v>
      </c>
      <c r="U58" s="52">
        <f t="shared" si="62"/>
        <v>1</v>
      </c>
      <c r="V58" s="52">
        <f t="shared" si="62"/>
        <v>1</v>
      </c>
      <c r="W58" s="19"/>
      <c r="X58" s="19"/>
    </row>
    <row r="59" spans="1:24" s="19" customFormat="1" ht="13.9" customHeight="1" x14ac:dyDescent="0.2">
      <c r="A59" s="82" t="s">
        <v>129</v>
      </c>
      <c r="B59" s="83">
        <v>3</v>
      </c>
      <c r="C59" s="83">
        <f>B59</f>
        <v>3</v>
      </c>
      <c r="D59" s="83">
        <f t="shared" ref="D59:K59" si="63">C59</f>
        <v>3</v>
      </c>
      <c r="E59" s="83">
        <f t="shared" si="63"/>
        <v>3</v>
      </c>
      <c r="F59" s="83">
        <f t="shared" si="63"/>
        <v>3</v>
      </c>
      <c r="G59" s="83">
        <f t="shared" si="63"/>
        <v>3</v>
      </c>
      <c r="H59" s="83">
        <f t="shared" si="63"/>
        <v>3</v>
      </c>
      <c r="I59" s="83">
        <f t="shared" si="63"/>
        <v>3</v>
      </c>
      <c r="J59" s="83">
        <f t="shared" si="63"/>
        <v>3</v>
      </c>
      <c r="K59" s="83">
        <f t="shared" si="63"/>
        <v>3</v>
      </c>
      <c r="L59" s="82" t="s">
        <v>129</v>
      </c>
      <c r="M59" s="91">
        <f>K59</f>
        <v>3</v>
      </c>
      <c r="N59" s="91">
        <f>M59</f>
        <v>3</v>
      </c>
      <c r="O59" s="91">
        <f t="shared" ref="O59:V59" si="64">N59</f>
        <v>3</v>
      </c>
      <c r="P59" s="91">
        <f t="shared" si="64"/>
        <v>3</v>
      </c>
      <c r="Q59" s="91">
        <f t="shared" si="64"/>
        <v>3</v>
      </c>
      <c r="R59" s="91">
        <f t="shared" si="64"/>
        <v>3</v>
      </c>
      <c r="S59" s="91">
        <f t="shared" si="64"/>
        <v>3</v>
      </c>
      <c r="T59" s="91">
        <f t="shared" si="64"/>
        <v>3</v>
      </c>
      <c r="U59" s="91">
        <f t="shared" si="64"/>
        <v>3</v>
      </c>
      <c r="V59" s="91">
        <f t="shared" si="64"/>
        <v>3</v>
      </c>
      <c r="W59" s="23"/>
      <c r="X59" s="23"/>
    </row>
    <row r="60" spans="1:24" s="19" customFormat="1" ht="13.9" customHeight="1" x14ac:dyDescent="0.2">
      <c r="A60" s="82" t="s">
        <v>166</v>
      </c>
      <c r="B60" s="83">
        <f>SUM((B58*2)+B59)</f>
        <v>5</v>
      </c>
      <c r="C60" s="83">
        <f t="shared" ref="C60:K60" si="65">SUM((C58*2)+C59)</f>
        <v>5</v>
      </c>
      <c r="D60" s="83">
        <f t="shared" si="65"/>
        <v>5</v>
      </c>
      <c r="E60" s="83">
        <f t="shared" si="65"/>
        <v>5</v>
      </c>
      <c r="F60" s="83">
        <f t="shared" si="65"/>
        <v>5</v>
      </c>
      <c r="G60" s="83">
        <f t="shared" si="65"/>
        <v>5</v>
      </c>
      <c r="H60" s="83">
        <f t="shared" si="65"/>
        <v>5</v>
      </c>
      <c r="I60" s="83">
        <f t="shared" si="65"/>
        <v>5</v>
      </c>
      <c r="J60" s="83">
        <f t="shared" si="65"/>
        <v>5</v>
      </c>
      <c r="K60" s="84">
        <f t="shared" si="65"/>
        <v>5</v>
      </c>
      <c r="L60" s="82" t="s">
        <v>166</v>
      </c>
      <c r="M60" s="83">
        <f>SUM((M58*2)+M59)</f>
        <v>5</v>
      </c>
      <c r="N60" s="83">
        <f t="shared" ref="N60" si="66">SUM((N58*2)+N59)</f>
        <v>5</v>
      </c>
      <c r="O60" s="83">
        <f t="shared" ref="O60" si="67">SUM((O58*2)+O59)</f>
        <v>5</v>
      </c>
      <c r="P60" s="83">
        <f t="shared" ref="P60" si="68">SUM((P58*2)+P59)</f>
        <v>5</v>
      </c>
      <c r="Q60" s="83">
        <f t="shared" ref="Q60" si="69">SUM((Q58*2)+Q59)</f>
        <v>5</v>
      </c>
      <c r="R60" s="83">
        <f t="shared" ref="R60" si="70">SUM((R58*2)+R59)</f>
        <v>5</v>
      </c>
      <c r="S60" s="83">
        <f t="shared" ref="S60" si="71">SUM((S58*2)+S59)</f>
        <v>5</v>
      </c>
      <c r="T60" s="83">
        <f t="shared" ref="T60" si="72">SUM((T58*2)+T59)</f>
        <v>5</v>
      </c>
      <c r="U60" s="83">
        <f t="shared" ref="U60:V60" si="73">SUM((U58*2)+U59)</f>
        <v>5</v>
      </c>
      <c r="V60" s="83">
        <f t="shared" si="73"/>
        <v>5</v>
      </c>
      <c r="W60" s="23"/>
      <c r="X60" s="23"/>
    </row>
    <row r="61" spans="1:24" s="23" customFormat="1" ht="13.9" customHeight="1" x14ac:dyDescent="0.2">
      <c r="A61" s="81" t="s">
        <v>130</v>
      </c>
      <c r="B61" s="50">
        <v>-1</v>
      </c>
      <c r="C61" s="51">
        <f>SUM(B61-B61*0.1)</f>
        <v>-0.9</v>
      </c>
      <c r="D61" s="51">
        <f>SUM(C61-C61*0.1)</f>
        <v>-0.81</v>
      </c>
      <c r="E61" s="51">
        <f>SUM(D61-D61*0.05)</f>
        <v>-0.76950000000000007</v>
      </c>
      <c r="F61" s="51">
        <f>SUM(E61-E61*0.05)</f>
        <v>-0.73102500000000004</v>
      </c>
      <c r="G61" s="51">
        <f>SUM(F61-F61*0.05)</f>
        <v>-0.69447375</v>
      </c>
      <c r="H61" s="51">
        <f>SUM(G61-G61*0.02)</f>
        <v>-0.68058427499999996</v>
      </c>
      <c r="I61" s="51">
        <f>SUM(H61-H61*0.02)</f>
        <v>-0.66697258949999993</v>
      </c>
      <c r="J61" s="51">
        <f>SUM(I61-I61*0.02)</f>
        <v>-0.65363313770999998</v>
      </c>
      <c r="K61" s="47">
        <f>SUM(J61-J61*0.02)</f>
        <v>-0.64056047495579993</v>
      </c>
      <c r="L61" s="81" t="s">
        <v>130</v>
      </c>
      <c r="M61" s="51">
        <f>SUM(K61-K61*0.02)</f>
        <v>-0.62774926545668397</v>
      </c>
      <c r="N61" s="51">
        <f>SUM(M61-M61*0.02)</f>
        <v>-0.61519428014755029</v>
      </c>
      <c r="O61" s="51">
        <f t="shared" ref="O61:V61" si="74">SUM(N61-N61*0.02)</f>
        <v>-0.60289039454459925</v>
      </c>
      <c r="P61" s="51">
        <f t="shared" si="74"/>
        <v>-0.5908325866537073</v>
      </c>
      <c r="Q61" s="51">
        <f t="shared" si="74"/>
        <v>-0.57901593492063319</v>
      </c>
      <c r="R61" s="51">
        <f t="shared" si="74"/>
        <v>-0.5674356162222205</v>
      </c>
      <c r="S61" s="51">
        <f t="shared" si="74"/>
        <v>-0.55608690389777604</v>
      </c>
      <c r="T61" s="51">
        <f t="shared" si="74"/>
        <v>-0.54496516581982057</v>
      </c>
      <c r="U61" s="51">
        <f t="shared" si="74"/>
        <v>-0.53406586250342414</v>
      </c>
      <c r="V61" s="47">
        <f t="shared" si="74"/>
        <v>-0.52338454525335565</v>
      </c>
    </row>
    <row r="62" spans="1:24" s="23" customFormat="1" ht="13.9" customHeight="1" x14ac:dyDescent="0.2">
      <c r="A62" s="85" t="s">
        <v>131</v>
      </c>
      <c r="B62" s="86">
        <v>0</v>
      </c>
      <c r="C62" s="87">
        <v>0.02</v>
      </c>
      <c r="D62" s="87">
        <v>0.02</v>
      </c>
      <c r="E62" s="87">
        <v>0.02</v>
      </c>
      <c r="F62" s="87">
        <v>0.02</v>
      </c>
      <c r="G62" s="87">
        <v>0.02</v>
      </c>
      <c r="H62" s="87">
        <v>0.02</v>
      </c>
      <c r="I62" s="87">
        <v>0.02</v>
      </c>
      <c r="J62" s="87">
        <v>0.02</v>
      </c>
      <c r="K62" s="88">
        <v>0.02</v>
      </c>
      <c r="L62" s="85" t="s">
        <v>131</v>
      </c>
      <c r="M62" s="87">
        <v>0.02</v>
      </c>
      <c r="N62" s="87">
        <v>0.02</v>
      </c>
      <c r="O62" s="87">
        <v>0.02</v>
      </c>
      <c r="P62" s="87">
        <v>0.02</v>
      </c>
      <c r="Q62" s="87">
        <v>0.02</v>
      </c>
      <c r="R62" s="87">
        <v>0.02</v>
      </c>
      <c r="S62" s="87">
        <v>0.02</v>
      </c>
      <c r="T62" s="87">
        <v>0.02</v>
      </c>
      <c r="U62" s="87">
        <v>0.02</v>
      </c>
      <c r="V62" s="88">
        <v>0.02</v>
      </c>
      <c r="W62" s="2"/>
      <c r="X62" s="2"/>
    </row>
    <row r="63" spans="1:24" ht="13.9" customHeight="1" x14ac:dyDescent="0.2">
      <c r="A63" s="2" t="s">
        <v>0</v>
      </c>
      <c r="L63" s="2" t="s">
        <v>0</v>
      </c>
    </row>
    <row r="64" spans="1:24" ht="13.9" customHeight="1" x14ac:dyDescent="0.2">
      <c r="A64" s="103" t="s">
        <v>57</v>
      </c>
      <c r="B64" s="71" t="s">
        <v>108</v>
      </c>
      <c r="G64" s="71" t="s">
        <v>138</v>
      </c>
    </row>
    <row r="65" spans="2:17" ht="13.9" customHeight="1" x14ac:dyDescent="0.2">
      <c r="B65" s="2"/>
      <c r="C65" s="6">
        <f>SUM(B50)</f>
        <v>17800000</v>
      </c>
      <c r="D65" s="98" t="s">
        <v>45</v>
      </c>
      <c r="H65" s="6">
        <f>SUM(B50)</f>
        <v>17800000</v>
      </c>
      <c r="I65" s="98" t="s">
        <v>45</v>
      </c>
    </row>
    <row r="66" spans="2:17" ht="13.9" customHeight="1" x14ac:dyDescent="0.2">
      <c r="B66" s="23" t="s">
        <v>46</v>
      </c>
      <c r="C66" s="101">
        <f>SUM(B51)</f>
        <v>3.39</v>
      </c>
      <c r="D66" s="2" t="s">
        <v>50</v>
      </c>
      <c r="G66" s="23" t="s">
        <v>46</v>
      </c>
      <c r="H66" s="101">
        <f>SUM(B51)</f>
        <v>3.39</v>
      </c>
      <c r="I66" s="2" t="s">
        <v>50</v>
      </c>
    </row>
    <row r="67" spans="2:17" ht="13.9" customHeight="1" x14ac:dyDescent="0.2">
      <c r="B67" s="23" t="s">
        <v>46</v>
      </c>
      <c r="C67" s="100">
        <f>SUM(B52)</f>
        <v>0.73</v>
      </c>
      <c r="D67" s="2" t="s">
        <v>59</v>
      </c>
      <c r="G67" s="23" t="s">
        <v>46</v>
      </c>
      <c r="H67" s="100">
        <f>SUM(B53)</f>
        <v>0.27</v>
      </c>
      <c r="I67" s="2" t="s">
        <v>51</v>
      </c>
    </row>
    <row r="68" spans="2:17" ht="13.9" customHeight="1" x14ac:dyDescent="0.2">
      <c r="B68" s="23" t="s">
        <v>46</v>
      </c>
      <c r="C68" s="100">
        <f>SUM(B55)</f>
        <v>0.24</v>
      </c>
      <c r="D68" s="2" t="s">
        <v>60</v>
      </c>
      <c r="G68" s="23" t="s">
        <v>46</v>
      </c>
      <c r="H68" s="100">
        <f>SUM(B55)</f>
        <v>0.24</v>
      </c>
      <c r="I68" s="2" t="s">
        <v>48</v>
      </c>
      <c r="Q68" s="2" t="s">
        <v>0</v>
      </c>
    </row>
    <row r="69" spans="2:17" ht="13.9" customHeight="1" x14ac:dyDescent="0.2">
      <c r="B69" s="23" t="s">
        <v>46</v>
      </c>
      <c r="C69" s="100">
        <f>SUM(B56)</f>
        <v>0.05</v>
      </c>
      <c r="D69" s="2" t="s">
        <v>61</v>
      </c>
      <c r="G69" s="23" t="s">
        <v>46</v>
      </c>
      <c r="H69" s="100">
        <f>SUM(B57)</f>
        <v>0.1</v>
      </c>
      <c r="I69" s="2" t="s">
        <v>52</v>
      </c>
    </row>
    <row r="70" spans="2:17" ht="13.9" customHeight="1" x14ac:dyDescent="0.2">
      <c r="B70" s="23" t="s">
        <v>46</v>
      </c>
      <c r="C70" s="100">
        <f>SUM(B61)</f>
        <v>-1</v>
      </c>
      <c r="D70" s="2" t="s">
        <v>62</v>
      </c>
      <c r="G70" s="23" t="s">
        <v>46</v>
      </c>
      <c r="H70" s="100">
        <f>SUM(B61)</f>
        <v>-1</v>
      </c>
      <c r="I70" s="2" t="s">
        <v>62</v>
      </c>
    </row>
    <row r="71" spans="2:17" s="3" customFormat="1" ht="19.899999999999999" customHeight="1" x14ac:dyDescent="0.25">
      <c r="B71" s="102" t="s">
        <v>47</v>
      </c>
      <c r="C71" s="105">
        <f>SUM(C65*C67*C68*C69*C70*C66)</f>
        <v>-528595.92000000004</v>
      </c>
      <c r="D71" s="44" t="s">
        <v>54</v>
      </c>
      <c r="E71" s="104"/>
      <c r="F71" s="104"/>
      <c r="G71" s="102" t="s">
        <v>47</v>
      </c>
      <c r="H71" s="105">
        <f>SUM(H65*H67*H68*H69*H70*H66)</f>
        <v>-391016.16000000003</v>
      </c>
      <c r="I71" s="44" t="s">
        <v>53</v>
      </c>
      <c r="J71" s="104"/>
      <c r="K71" s="104"/>
    </row>
    <row r="72" spans="2:17" ht="13.9" customHeight="1" x14ac:dyDescent="0.2">
      <c r="B72" s="98"/>
    </row>
    <row r="73" spans="2:17" ht="13.9" customHeight="1" x14ac:dyDescent="0.2">
      <c r="B73" s="71" t="s">
        <v>161</v>
      </c>
      <c r="G73" s="71" t="s">
        <v>162</v>
      </c>
      <c r="L73" s="2" t="s">
        <v>0</v>
      </c>
    </row>
    <row r="74" spans="2:17" ht="13.9" customHeight="1" x14ac:dyDescent="0.2">
      <c r="B74" s="2"/>
      <c r="C74" s="6">
        <f>SUM(B50)</f>
        <v>17800000</v>
      </c>
      <c r="D74" s="98" t="s">
        <v>45</v>
      </c>
      <c r="H74" s="6">
        <f>SUM(B50)</f>
        <v>17800000</v>
      </c>
      <c r="I74" s="98" t="s">
        <v>45</v>
      </c>
    </row>
    <row r="75" spans="2:17" ht="13.9" customHeight="1" x14ac:dyDescent="0.2">
      <c r="B75" s="23" t="s">
        <v>55</v>
      </c>
      <c r="C75" s="6">
        <v>2</v>
      </c>
      <c r="D75" s="98" t="s">
        <v>56</v>
      </c>
      <c r="G75" s="23" t="s">
        <v>55</v>
      </c>
      <c r="H75" s="6">
        <v>2</v>
      </c>
      <c r="I75" s="98" t="s">
        <v>56</v>
      </c>
    </row>
    <row r="76" spans="2:17" ht="13.9" customHeight="1" x14ac:dyDescent="0.2">
      <c r="B76" s="23" t="s">
        <v>46</v>
      </c>
      <c r="C76" s="101">
        <f>SUM(B60)</f>
        <v>5</v>
      </c>
      <c r="D76" s="2" t="s">
        <v>165</v>
      </c>
      <c r="G76" s="23" t="s">
        <v>46</v>
      </c>
      <c r="H76" s="101">
        <f>SUM(B60)</f>
        <v>5</v>
      </c>
      <c r="I76" s="2" t="s">
        <v>165</v>
      </c>
    </row>
    <row r="77" spans="2:17" ht="13.9" customHeight="1" x14ac:dyDescent="0.2">
      <c r="B77" s="23" t="s">
        <v>46</v>
      </c>
      <c r="C77" s="100">
        <f>SUM(B52)</f>
        <v>0.73</v>
      </c>
      <c r="D77" s="2" t="s">
        <v>59</v>
      </c>
      <c r="G77" s="23" t="s">
        <v>46</v>
      </c>
      <c r="H77" s="100">
        <f>SUM(G53)</f>
        <v>0.27</v>
      </c>
      <c r="I77" s="2" t="s">
        <v>63</v>
      </c>
    </row>
    <row r="78" spans="2:17" ht="13.9" customHeight="1" x14ac:dyDescent="0.2">
      <c r="B78" s="23" t="s">
        <v>46</v>
      </c>
      <c r="C78" s="100">
        <f>SUM(B55)</f>
        <v>0.24</v>
      </c>
      <c r="D78" s="2" t="s">
        <v>60</v>
      </c>
      <c r="G78" s="23" t="s">
        <v>46</v>
      </c>
      <c r="H78" s="100">
        <f>SUM(B55)</f>
        <v>0.24</v>
      </c>
      <c r="I78" s="2" t="s">
        <v>60</v>
      </c>
    </row>
    <row r="79" spans="2:17" ht="13.9" customHeight="1" x14ac:dyDescent="0.2">
      <c r="B79" s="23" t="s">
        <v>46</v>
      </c>
      <c r="C79" s="100">
        <f>SUM(B56)</f>
        <v>0.05</v>
      </c>
      <c r="D79" s="2" t="s">
        <v>61</v>
      </c>
      <c r="G79" s="23" t="s">
        <v>46</v>
      </c>
      <c r="H79" s="100">
        <f>SUM(G57)</f>
        <v>0.1</v>
      </c>
      <c r="I79" s="2" t="s">
        <v>61</v>
      </c>
    </row>
    <row r="80" spans="2:17" ht="13.9" customHeight="1" x14ac:dyDescent="0.2">
      <c r="B80" s="23" t="s">
        <v>46</v>
      </c>
      <c r="C80" s="100">
        <f>SUM(B61)</f>
        <v>-1</v>
      </c>
      <c r="D80" s="2" t="s">
        <v>49</v>
      </c>
      <c r="G80" s="23" t="s">
        <v>46</v>
      </c>
      <c r="H80" s="100">
        <f>SUM(B61)</f>
        <v>-1</v>
      </c>
      <c r="I80" s="2" t="s">
        <v>49</v>
      </c>
    </row>
    <row r="81" spans="1:24" ht="19.149999999999999" customHeight="1" x14ac:dyDescent="0.2">
      <c r="B81" s="102" t="s">
        <v>47</v>
      </c>
      <c r="C81" s="105">
        <f>SUM((B50/2)*B60*B52*B55*B56*B61)</f>
        <v>-389820</v>
      </c>
      <c r="D81" s="44" t="s">
        <v>54</v>
      </c>
      <c r="E81" s="74"/>
      <c r="F81" s="74"/>
      <c r="G81" s="102" t="s">
        <v>47</v>
      </c>
      <c r="H81" s="105">
        <f>SUM((B50/2)*B60*B53*B55*B57*B61)</f>
        <v>-288360</v>
      </c>
      <c r="I81" s="44" t="s">
        <v>54</v>
      </c>
      <c r="J81" s="74"/>
      <c r="K81" s="74"/>
    </row>
    <row r="82" spans="1:24" ht="13.9" customHeight="1" x14ac:dyDescent="0.2">
      <c r="H82" s="99"/>
    </row>
    <row r="83" spans="1:24" s="8" customFormat="1" ht="13.9" customHeight="1" x14ac:dyDescent="0.2">
      <c r="A83" s="92" t="s">
        <v>58</v>
      </c>
      <c r="B83" s="13" t="s">
        <v>9</v>
      </c>
      <c r="C83" s="9" t="s">
        <v>10</v>
      </c>
      <c r="D83" s="9" t="s">
        <v>11</v>
      </c>
      <c r="E83" s="9" t="s">
        <v>12</v>
      </c>
      <c r="F83" s="9" t="s">
        <v>13</v>
      </c>
      <c r="G83" s="9" t="s">
        <v>16</v>
      </c>
      <c r="H83" s="9" t="s">
        <v>17</v>
      </c>
      <c r="I83" s="9" t="s">
        <v>18</v>
      </c>
      <c r="J83" s="9" t="s">
        <v>19</v>
      </c>
      <c r="K83" s="9" t="s">
        <v>20</v>
      </c>
      <c r="L83" s="92" t="s">
        <v>58</v>
      </c>
      <c r="M83" s="13" t="s">
        <v>28</v>
      </c>
      <c r="N83" s="9" t="s">
        <v>29</v>
      </c>
      <c r="O83" s="9" t="s">
        <v>30</v>
      </c>
      <c r="P83" s="9" t="s">
        <v>31</v>
      </c>
      <c r="Q83" s="9" t="s">
        <v>32</v>
      </c>
      <c r="R83" s="9" t="s">
        <v>33</v>
      </c>
      <c r="S83" s="9" t="s">
        <v>34</v>
      </c>
      <c r="T83" s="9" t="s">
        <v>35</v>
      </c>
      <c r="U83" s="9" t="s">
        <v>36</v>
      </c>
      <c r="V83" s="9" t="s">
        <v>37</v>
      </c>
      <c r="W83" s="33"/>
      <c r="X83" s="33"/>
    </row>
    <row r="84" spans="1:24" s="33" customFormat="1" ht="13.9" customHeight="1" x14ac:dyDescent="0.2">
      <c r="A84" s="93" t="s">
        <v>109</v>
      </c>
      <c r="B84" s="31"/>
      <c r="C84" s="53"/>
      <c r="D84" s="53"/>
      <c r="E84" s="53"/>
      <c r="F84" s="53">
        <v>-115000</v>
      </c>
      <c r="G84" s="53"/>
      <c r="H84" s="53"/>
      <c r="I84" s="53"/>
      <c r="J84" s="53"/>
      <c r="K84" s="48">
        <v>-115000</v>
      </c>
      <c r="L84" s="93" t="s">
        <v>109</v>
      </c>
      <c r="M84" s="53"/>
      <c r="N84" s="53"/>
      <c r="O84" s="53"/>
      <c r="P84" s="53"/>
      <c r="Q84" s="53">
        <v>-115000</v>
      </c>
      <c r="R84" s="53"/>
      <c r="S84" s="53"/>
      <c r="T84" s="53"/>
      <c r="U84" s="53"/>
      <c r="V84" s="48">
        <v>-115000</v>
      </c>
      <c r="X84" s="4">
        <f t="shared" ref="X84:X88" si="75">SUM(B84:V84)</f>
        <v>-460000</v>
      </c>
    </row>
    <row r="85" spans="1:24" s="33" customFormat="1" ht="13.9" customHeight="1" x14ac:dyDescent="0.2">
      <c r="A85" s="93" t="s">
        <v>110</v>
      </c>
      <c r="B85" s="11"/>
      <c r="C85" s="54"/>
      <c r="D85" s="54"/>
      <c r="E85" s="54"/>
      <c r="F85" s="54"/>
      <c r="G85" s="54"/>
      <c r="H85" s="54"/>
      <c r="I85" s="54">
        <v>-13600</v>
      </c>
      <c r="J85" s="54"/>
      <c r="K85" s="36"/>
      <c r="L85" s="93" t="s">
        <v>110</v>
      </c>
      <c r="M85" s="54"/>
      <c r="N85" s="54"/>
      <c r="O85" s="54"/>
      <c r="P85" s="54"/>
      <c r="Q85" s="54"/>
      <c r="R85" s="54">
        <v>-13600</v>
      </c>
      <c r="S85" s="54"/>
      <c r="T85" s="54"/>
      <c r="U85" s="54"/>
      <c r="V85" s="36"/>
      <c r="X85" s="4">
        <f t="shared" si="75"/>
        <v>-27200</v>
      </c>
    </row>
    <row r="86" spans="1:24" s="33" customFormat="1" ht="13.9" customHeight="1" x14ac:dyDescent="0.2">
      <c r="A86" s="93" t="s">
        <v>111</v>
      </c>
      <c r="B86" s="31"/>
      <c r="C86" s="53"/>
      <c r="D86" s="53"/>
      <c r="E86" s="53"/>
      <c r="F86" s="53"/>
      <c r="G86" s="53"/>
      <c r="H86" s="53"/>
      <c r="I86" s="53"/>
      <c r="J86" s="53"/>
      <c r="K86" s="48"/>
      <c r="L86" s="93" t="s">
        <v>111</v>
      </c>
      <c r="M86" s="53"/>
      <c r="N86" s="53"/>
      <c r="O86" s="53"/>
      <c r="P86" s="53"/>
      <c r="Q86" s="53">
        <v>-58000</v>
      </c>
      <c r="R86" s="53"/>
      <c r="S86" s="53"/>
      <c r="T86" s="53"/>
      <c r="U86" s="53"/>
      <c r="V86" s="48"/>
      <c r="X86" s="4">
        <f t="shared" si="75"/>
        <v>-58000</v>
      </c>
    </row>
    <row r="87" spans="1:24" s="33" customFormat="1" ht="13.9" customHeight="1" x14ac:dyDescent="0.2">
      <c r="A87" s="93" t="s">
        <v>112</v>
      </c>
      <c r="B87" s="31"/>
      <c r="C87" s="53"/>
      <c r="D87" s="53"/>
      <c r="E87" s="53"/>
      <c r="F87" s="53"/>
      <c r="G87" s="53"/>
      <c r="H87" s="53"/>
      <c r="I87" s="53"/>
      <c r="J87" s="53"/>
      <c r="K87" s="48"/>
      <c r="L87" s="93" t="s">
        <v>112</v>
      </c>
      <c r="M87" s="53"/>
      <c r="N87" s="53"/>
      <c r="O87" s="53"/>
      <c r="P87" s="53"/>
      <c r="Q87" s="53">
        <v>-3080000</v>
      </c>
      <c r="R87" s="53"/>
      <c r="S87" s="53"/>
      <c r="T87" s="53"/>
      <c r="U87" s="53"/>
      <c r="V87" s="48"/>
      <c r="X87" s="4">
        <f t="shared" si="75"/>
        <v>-3080000</v>
      </c>
    </row>
    <row r="88" spans="1:24" s="33" customFormat="1" ht="13.9" customHeight="1" x14ac:dyDescent="0.2">
      <c r="A88" s="93" t="s">
        <v>2</v>
      </c>
      <c r="B88" s="31"/>
      <c r="C88" s="53"/>
      <c r="D88" s="53"/>
      <c r="E88" s="53"/>
      <c r="F88" s="53"/>
      <c r="G88" s="53"/>
      <c r="H88" s="53"/>
      <c r="I88" s="53"/>
      <c r="J88" s="53"/>
      <c r="K88" s="48"/>
      <c r="L88" s="93" t="s">
        <v>2</v>
      </c>
      <c r="M88" s="53"/>
      <c r="N88" s="53"/>
      <c r="O88" s="53"/>
      <c r="P88" s="53"/>
      <c r="Q88" s="53"/>
      <c r="R88" s="53"/>
      <c r="S88" s="53"/>
      <c r="T88" s="53"/>
      <c r="U88" s="53"/>
      <c r="V88" s="48">
        <v>-814000</v>
      </c>
      <c r="X88" s="4">
        <f t="shared" si="75"/>
        <v>-814000</v>
      </c>
    </row>
    <row r="89" spans="1:24" s="4" customFormat="1" ht="17.45" customHeight="1" x14ac:dyDescent="0.25">
      <c r="A89" s="94" t="s">
        <v>43</v>
      </c>
      <c r="B89" s="95">
        <f>SUM(B84:B88)</f>
        <v>0</v>
      </c>
      <c r="C89" s="95">
        <f t="shared" ref="C89:V89" si="76">SUM(C84:C88)</f>
        <v>0</v>
      </c>
      <c r="D89" s="95">
        <f t="shared" si="76"/>
        <v>0</v>
      </c>
      <c r="E89" s="95">
        <f t="shared" si="76"/>
        <v>0</v>
      </c>
      <c r="F89" s="95">
        <f t="shared" si="76"/>
        <v>-115000</v>
      </c>
      <c r="G89" s="95">
        <f t="shared" si="76"/>
        <v>0</v>
      </c>
      <c r="H89" s="95">
        <f t="shared" si="76"/>
        <v>0</v>
      </c>
      <c r="I89" s="95">
        <f t="shared" si="76"/>
        <v>-13600</v>
      </c>
      <c r="J89" s="95">
        <f t="shared" si="76"/>
        <v>0</v>
      </c>
      <c r="K89" s="96">
        <f t="shared" si="76"/>
        <v>-115000</v>
      </c>
      <c r="L89" s="97" t="s">
        <v>43</v>
      </c>
      <c r="M89" s="95">
        <f t="shared" si="76"/>
        <v>0</v>
      </c>
      <c r="N89" s="95">
        <f t="shared" si="76"/>
        <v>0</v>
      </c>
      <c r="O89" s="95">
        <f t="shared" si="76"/>
        <v>0</v>
      </c>
      <c r="P89" s="95">
        <f t="shared" si="76"/>
        <v>0</v>
      </c>
      <c r="Q89" s="95">
        <f t="shared" si="76"/>
        <v>-3253000</v>
      </c>
      <c r="R89" s="95">
        <f t="shared" si="76"/>
        <v>-13600</v>
      </c>
      <c r="S89" s="95">
        <f t="shared" si="76"/>
        <v>0</v>
      </c>
      <c r="T89" s="95">
        <f t="shared" si="76"/>
        <v>0</v>
      </c>
      <c r="U89" s="95">
        <f t="shared" si="76"/>
        <v>0</v>
      </c>
      <c r="V89" s="96">
        <f t="shared" si="76"/>
        <v>-929000</v>
      </c>
      <c r="W89" s="3"/>
      <c r="X89" s="4">
        <f>SUM(B89:V89)</f>
        <v>-4439200</v>
      </c>
    </row>
    <row r="94" spans="1:24" ht="13.9" customHeight="1" x14ac:dyDescent="0.2">
      <c r="E94" s="2" t="s">
        <v>0</v>
      </c>
    </row>
  </sheetData>
  <mergeCells count="10">
    <mergeCell ref="A40:K40"/>
    <mergeCell ref="L1:V1"/>
    <mergeCell ref="L40:V40"/>
    <mergeCell ref="A19:K19"/>
    <mergeCell ref="L19:V19"/>
    <mergeCell ref="L39:V39"/>
    <mergeCell ref="L20:V20"/>
    <mergeCell ref="A1:K1"/>
    <mergeCell ref="A20:K20"/>
    <mergeCell ref="A39:K39"/>
  </mergeCells>
  <printOptions gridLines="1"/>
  <pageMargins left="0.46" right="0.32" top="0.72" bottom="0.48" header="0.39" footer="0.3"/>
  <pageSetup scale="81" fitToWidth="2" fitToHeight="2" pageOrder="overThenDown" orientation="landscape" r:id="rId1"/>
  <headerFooter>
    <oddHeader>&amp;C&amp;"-,Bold Italic"&amp;14Comparative Analysis ~ AET versus ORT -with 5/10% Leakage</oddHeader>
    <oddFooter>&amp;L&amp;D&amp;CPage &amp;P of &amp;N&amp;RAuthor: P. R. Smith</oddFooter>
  </headerFooter>
  <rowBreaks count="1" manualBreakCount="1">
    <brk id="47" max="16383" man="1"/>
  </rowBreaks>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4"/>
  <sheetViews>
    <sheetView zoomScaleNormal="100" workbookViewId="0">
      <selection activeCell="C69" sqref="C69"/>
    </sheetView>
  </sheetViews>
  <sheetFormatPr defaultColWidth="8.85546875" defaultRowHeight="13.9" customHeight="1" x14ac:dyDescent="0.2"/>
  <cols>
    <col min="1" max="1" width="40.7109375" style="2" customWidth="1"/>
    <col min="2" max="2" width="11.7109375" style="182" customWidth="1"/>
    <col min="3" max="11" width="11.7109375" style="2" customWidth="1"/>
    <col min="12" max="12" width="40.5703125" style="2" customWidth="1"/>
    <col min="13" max="22" width="11.7109375" style="2" customWidth="1"/>
    <col min="23" max="23" width="1.85546875" style="2" customWidth="1"/>
    <col min="24" max="24" width="12.42578125" style="2" customWidth="1"/>
    <col min="25" max="16384" width="8.85546875" style="2"/>
  </cols>
  <sheetData>
    <row r="1" spans="1:24" s="1" customFormat="1" ht="15" customHeight="1" x14ac:dyDescent="0.2">
      <c r="A1" s="186" t="s">
        <v>5</v>
      </c>
      <c r="B1" s="187"/>
      <c r="C1" s="187"/>
      <c r="D1" s="187"/>
      <c r="E1" s="187"/>
      <c r="F1" s="187"/>
      <c r="G1" s="187"/>
      <c r="H1" s="187"/>
      <c r="I1" s="187"/>
      <c r="J1" s="187"/>
      <c r="K1" s="187"/>
      <c r="L1" s="187" t="s">
        <v>5</v>
      </c>
      <c r="M1" s="187"/>
      <c r="N1" s="187"/>
      <c r="O1" s="187"/>
      <c r="P1" s="187"/>
      <c r="Q1" s="187"/>
      <c r="R1" s="187"/>
      <c r="S1" s="187"/>
      <c r="T1" s="187"/>
      <c r="U1" s="187"/>
      <c r="V1" s="188"/>
    </row>
    <row r="2" spans="1:24" s="8" customFormat="1" ht="13.9" customHeight="1" x14ac:dyDescent="0.2">
      <c r="A2" s="14"/>
      <c r="B2" s="13" t="s">
        <v>9</v>
      </c>
      <c r="C2" s="9" t="s">
        <v>10</v>
      </c>
      <c r="D2" s="9" t="s">
        <v>11</v>
      </c>
      <c r="E2" s="9" t="s">
        <v>12</v>
      </c>
      <c r="F2" s="9" t="s">
        <v>13</v>
      </c>
      <c r="G2" s="9" t="s">
        <v>16</v>
      </c>
      <c r="H2" s="9" t="s">
        <v>17</v>
      </c>
      <c r="I2" s="9" t="s">
        <v>18</v>
      </c>
      <c r="J2" s="9" t="s">
        <v>19</v>
      </c>
      <c r="K2" s="46" t="s">
        <v>20</v>
      </c>
      <c r="L2" s="14"/>
      <c r="M2" s="13" t="s">
        <v>28</v>
      </c>
      <c r="N2" s="9" t="s">
        <v>29</v>
      </c>
      <c r="O2" s="9" t="s">
        <v>30</v>
      </c>
      <c r="P2" s="9" t="s">
        <v>31</v>
      </c>
      <c r="Q2" s="9" t="s">
        <v>32</v>
      </c>
      <c r="R2" s="9" t="s">
        <v>33</v>
      </c>
      <c r="S2" s="9" t="s">
        <v>34</v>
      </c>
      <c r="T2" s="9" t="s">
        <v>35</v>
      </c>
      <c r="U2" s="9" t="s">
        <v>36</v>
      </c>
      <c r="V2" s="9" t="s">
        <v>37</v>
      </c>
    </row>
    <row r="3" spans="1:24" s="3" customFormat="1" ht="12" customHeight="1" x14ac:dyDescent="0.25">
      <c r="A3" s="15" t="s">
        <v>134</v>
      </c>
      <c r="K3" s="66"/>
      <c r="L3" s="15" t="s">
        <v>24</v>
      </c>
      <c r="V3" s="16"/>
    </row>
    <row r="4" spans="1:24" ht="12" customHeight="1" x14ac:dyDescent="0.2">
      <c r="A4" s="16" t="s">
        <v>4</v>
      </c>
      <c r="B4" s="11">
        <f t="shared" ref="B4:K4" si="0">SUM(B6*B54)</f>
        <v>45859920</v>
      </c>
      <c r="C4" s="11">
        <f t="shared" si="0"/>
        <v>48180431.952</v>
      </c>
      <c r="D4" s="11">
        <f t="shared" si="0"/>
        <v>50618361.808771208</v>
      </c>
      <c r="E4" s="11">
        <f t="shared" si="0"/>
        <v>52663343.625845566</v>
      </c>
      <c r="F4" s="11">
        <f t="shared" si="0"/>
        <v>54790942.70832973</v>
      </c>
      <c r="G4" s="11">
        <f t="shared" si="0"/>
        <v>65555171.312808186</v>
      </c>
      <c r="H4" s="11">
        <f t="shared" si="0"/>
        <v>67534937.486455008</v>
      </c>
      <c r="I4" s="11">
        <f t="shared" si="0"/>
        <v>69574492.598545954</v>
      </c>
      <c r="J4" s="11">
        <f t="shared" si="0"/>
        <v>71675642.275022045</v>
      </c>
      <c r="K4" s="11">
        <f t="shared" si="0"/>
        <v>73840246.671727702</v>
      </c>
      <c r="L4" s="16" t="s">
        <v>4</v>
      </c>
      <c r="M4" s="11">
        <f t="shared" ref="M4:V4" si="1">SUM(M6*M54)</f>
        <v>76070222.121213883</v>
      </c>
      <c r="N4" s="11">
        <f t="shared" si="1"/>
        <v>78367542.829274535</v>
      </c>
      <c r="O4" s="11">
        <f t="shared" si="1"/>
        <v>80734242.622718632</v>
      </c>
      <c r="P4" s="11">
        <f t="shared" si="1"/>
        <v>83172416.749924734</v>
      </c>
      <c r="Q4" s="11">
        <f t="shared" si="1"/>
        <v>85684223.735772461</v>
      </c>
      <c r="R4" s="11">
        <f t="shared" si="1"/>
        <v>101512670.38648172</v>
      </c>
      <c r="S4" s="11">
        <f t="shared" si="1"/>
        <v>104578353.03215349</v>
      </c>
      <c r="T4" s="11">
        <f t="shared" si="1"/>
        <v>107736619.29372452</v>
      </c>
      <c r="U4" s="11">
        <f t="shared" si="1"/>
        <v>110990265.19639499</v>
      </c>
      <c r="V4" s="38">
        <f t="shared" si="1"/>
        <v>114342171.20532613</v>
      </c>
    </row>
    <row r="5" spans="1:24" ht="12" customHeight="1" x14ac:dyDescent="0.2">
      <c r="A5" s="16" t="s">
        <v>6</v>
      </c>
      <c r="B5" s="20">
        <f t="shared" ref="B5:V5" si="2">SUM(B6-B4)</f>
        <v>14482080</v>
      </c>
      <c r="C5" s="20">
        <f t="shared" si="2"/>
        <v>13368408.048</v>
      </c>
      <c r="D5" s="20">
        <f t="shared" si="2"/>
        <v>12161454.991228797</v>
      </c>
      <c r="E5" s="20">
        <f t="shared" si="2"/>
        <v>11372069.510154434</v>
      </c>
      <c r="F5" s="20">
        <f t="shared" si="2"/>
        <v>10525178.690390266</v>
      </c>
      <c r="G5" s="20">
        <f t="shared" si="2"/>
        <v>11060639.087890372</v>
      </c>
      <c r="H5" s="20">
        <f t="shared" si="2"/>
        <v>10613189.122257531</v>
      </c>
      <c r="I5" s="20">
        <f t="shared" si="2"/>
        <v>10136596.542340845</v>
      </c>
      <c r="J5" s="20">
        <f t="shared" si="2"/>
        <v>9629668.64868249</v>
      </c>
      <c r="K5" s="20">
        <f t="shared" si="2"/>
        <v>9091170.4704509228</v>
      </c>
      <c r="L5" s="16" t="s">
        <v>6</v>
      </c>
      <c r="M5" s="20">
        <f t="shared" si="2"/>
        <v>8519823.363808319</v>
      </c>
      <c r="N5" s="20">
        <f t="shared" si="2"/>
        <v>7914303.5654481053</v>
      </c>
      <c r="O5" s="20">
        <f t="shared" si="2"/>
        <v>7273240.6998984665</v>
      </c>
      <c r="P5" s="20">
        <f t="shared" si="2"/>
        <v>6595216.2391446978</v>
      </c>
      <c r="Q5" s="20">
        <f t="shared" si="2"/>
        <v>5878761.9130783677</v>
      </c>
      <c r="R5" s="20">
        <f t="shared" si="2"/>
        <v>5890711.7796203047</v>
      </c>
      <c r="S5" s="20">
        <f t="shared" si="2"/>
        <v>4973096.7772705853</v>
      </c>
      <c r="T5" s="20">
        <f t="shared" si="2"/>
        <v>4005859.5118880272</v>
      </c>
      <c r="U5" s="20">
        <f t="shared" si="2"/>
        <v>2987063.1853298098</v>
      </c>
      <c r="V5" s="43">
        <f t="shared" si="2"/>
        <v>1914703.7440331727</v>
      </c>
    </row>
    <row r="6" spans="1:24" s="3" customFormat="1" ht="12" customHeight="1" x14ac:dyDescent="0.25">
      <c r="A6" s="24" t="s">
        <v>25</v>
      </c>
      <c r="B6" s="25">
        <f t="shared" ref="B6:V6" si="3">SUM(B50*B51)</f>
        <v>60342000</v>
      </c>
      <c r="C6" s="25">
        <f t="shared" si="3"/>
        <v>61548840</v>
      </c>
      <c r="D6" s="25">
        <f t="shared" si="3"/>
        <v>62779816.800000004</v>
      </c>
      <c r="E6" s="25">
        <f t="shared" si="3"/>
        <v>64035413.136</v>
      </c>
      <c r="F6" s="25">
        <f t="shared" si="3"/>
        <v>65316121.398719996</v>
      </c>
      <c r="G6" s="25">
        <f t="shared" si="3"/>
        <v>76615810.400698557</v>
      </c>
      <c r="H6" s="25">
        <f t="shared" si="3"/>
        <v>78148126.608712539</v>
      </c>
      <c r="I6" s="25">
        <f t="shared" si="3"/>
        <v>79711089.140886799</v>
      </c>
      <c r="J6" s="25">
        <f t="shared" si="3"/>
        <v>81305310.923704535</v>
      </c>
      <c r="K6" s="67">
        <f t="shared" si="3"/>
        <v>82931417.142178625</v>
      </c>
      <c r="L6" s="24" t="s">
        <v>25</v>
      </c>
      <c r="M6" s="25">
        <f t="shared" si="3"/>
        <v>84590045.485022202</v>
      </c>
      <c r="N6" s="25">
        <f t="shared" si="3"/>
        <v>86281846.394722641</v>
      </c>
      <c r="O6" s="25">
        <f t="shared" si="3"/>
        <v>88007483.322617099</v>
      </c>
      <c r="P6" s="25">
        <f t="shared" si="3"/>
        <v>89767632.989069432</v>
      </c>
      <c r="Q6" s="25">
        <f t="shared" si="3"/>
        <v>91562985.648850828</v>
      </c>
      <c r="R6" s="25">
        <f t="shared" si="3"/>
        <v>107403382.16610202</v>
      </c>
      <c r="S6" s="25">
        <f t="shared" si="3"/>
        <v>109551449.80942407</v>
      </c>
      <c r="T6" s="25">
        <f t="shared" si="3"/>
        <v>111742478.80561255</v>
      </c>
      <c r="U6" s="25">
        <f t="shared" si="3"/>
        <v>113977328.3817248</v>
      </c>
      <c r="V6" s="35">
        <f t="shared" si="3"/>
        <v>116256874.9493593</v>
      </c>
    </row>
    <row r="7" spans="1:24" ht="12" customHeight="1" x14ac:dyDescent="0.2">
      <c r="A7" s="16" t="s">
        <v>145</v>
      </c>
      <c r="B7" s="11">
        <f>SUM(((B50*B55)/2)*B60)</f>
        <v>10680000</v>
      </c>
      <c r="C7" s="11">
        <f>SUM(((C50*C55)/2)*C60)</f>
        <v>9858707.9999999981</v>
      </c>
      <c r="D7" s="11">
        <f t="shared" ref="D7:K7" si="4">SUM(((D50*D55)/2)*D60)</f>
        <v>8968624.6247999948</v>
      </c>
      <c r="E7" s="11">
        <f t="shared" si="4"/>
        <v>8386481.9396419125</v>
      </c>
      <c r="F7" s="11">
        <f t="shared" si="4"/>
        <v>7761931.1876034439</v>
      </c>
      <c r="G7" s="11">
        <f t="shared" si="4"/>
        <v>7092881.292734622</v>
      </c>
      <c r="H7" s="11">
        <f t="shared" si="4"/>
        <v>6805944.0312027279</v>
      </c>
      <c r="I7" s="11">
        <f t="shared" si="4"/>
        <v>6500318.4188411236</v>
      </c>
      <c r="J7" s="11">
        <f t="shared" si="4"/>
        <v>6175239.6105441153</v>
      </c>
      <c r="K7" s="11">
        <f t="shared" si="4"/>
        <v>5829915.6537456214</v>
      </c>
      <c r="L7" s="16" t="s">
        <v>145</v>
      </c>
      <c r="M7" s="11">
        <f t="shared" ref="M7:V7" si="5">SUM(((M50*M55)/2)*M60)</f>
        <v>5463526.5895910738</v>
      </c>
      <c r="N7" s="11">
        <f t="shared" si="5"/>
        <v>5075223.525361103</v>
      </c>
      <c r="O7" s="11">
        <f t="shared" si="5"/>
        <v>4664127.6772466777</v>
      </c>
      <c r="P7" s="11">
        <f t="shared" si="5"/>
        <v>4229329.3825475853</v>
      </c>
      <c r="Q7" s="11">
        <f t="shared" si="5"/>
        <v>3769887.0803375426</v>
      </c>
      <c r="R7" s="11">
        <f t="shared" si="5"/>
        <v>3284826.2596094962</v>
      </c>
      <c r="S7" s="11">
        <f t="shared" si="5"/>
        <v>2773138.3738843771</v>
      </c>
      <c r="T7" s="11">
        <f t="shared" si="5"/>
        <v>2233779.7212350536</v>
      </c>
      <c r="U7" s="11">
        <f t="shared" si="5"/>
        <v>1665670.2886449108</v>
      </c>
      <c r="V7" s="179">
        <f t="shared" si="5"/>
        <v>1067692.559587115</v>
      </c>
    </row>
    <row r="8" spans="1:24" s="27" customFormat="1" ht="16.149999999999999" customHeight="1" x14ac:dyDescent="0.2">
      <c r="A8" s="65" t="s">
        <v>26</v>
      </c>
      <c r="B8" s="26">
        <f>SUM(B6:B7)</f>
        <v>71022000</v>
      </c>
      <c r="C8" s="26">
        <f t="shared" ref="C8:V8" si="6">SUM(C6:C7)</f>
        <v>71407548</v>
      </c>
      <c r="D8" s="26">
        <f t="shared" si="6"/>
        <v>71748441.424799994</v>
      </c>
      <c r="E8" s="26">
        <f t="shared" si="6"/>
        <v>72421895.075641915</v>
      </c>
      <c r="F8" s="26">
        <f t="shared" si="6"/>
        <v>73078052.58632344</v>
      </c>
      <c r="G8" s="26">
        <f t="shared" si="6"/>
        <v>83708691.69343318</v>
      </c>
      <c r="H8" s="26">
        <f t="shared" si="6"/>
        <v>84954070.639915273</v>
      </c>
      <c r="I8" s="26">
        <f t="shared" si="6"/>
        <v>86211407.559727922</v>
      </c>
      <c r="J8" s="26">
        <f t="shared" si="6"/>
        <v>87480550.53424865</v>
      </c>
      <c r="K8" s="26">
        <f t="shared" si="6"/>
        <v>88761332.795924246</v>
      </c>
      <c r="L8" s="65" t="s">
        <v>26</v>
      </c>
      <c r="M8" s="26">
        <f t="shared" si="6"/>
        <v>90053572.074613273</v>
      </c>
      <c r="N8" s="26">
        <f t="shared" si="6"/>
        <v>91357069.920083746</v>
      </c>
      <c r="O8" s="26">
        <f t="shared" si="6"/>
        <v>92671610.999863774</v>
      </c>
      <c r="P8" s="26">
        <f t="shared" si="6"/>
        <v>93996962.371617019</v>
      </c>
      <c r="Q8" s="26">
        <f t="shared" si="6"/>
        <v>95332872.729188368</v>
      </c>
      <c r="R8" s="26">
        <f t="shared" si="6"/>
        <v>110688208.42571151</v>
      </c>
      <c r="S8" s="26">
        <f t="shared" si="6"/>
        <v>112324588.18330845</v>
      </c>
      <c r="T8" s="26">
        <f t="shared" si="6"/>
        <v>113976258.5268476</v>
      </c>
      <c r="U8" s="26">
        <f t="shared" si="6"/>
        <v>115642998.67036971</v>
      </c>
      <c r="V8" s="39">
        <f t="shared" si="6"/>
        <v>117324567.50894642</v>
      </c>
    </row>
    <row r="9" spans="1:24" ht="6" customHeight="1" x14ac:dyDescent="0.2">
      <c r="A9" s="16"/>
      <c r="B9" s="11"/>
      <c r="C9" s="11"/>
      <c r="D9" s="11"/>
      <c r="E9" s="11"/>
      <c r="F9" s="11"/>
      <c r="G9" s="11"/>
      <c r="H9" s="11"/>
      <c r="I9" s="11"/>
      <c r="J9" s="11"/>
      <c r="K9" s="11"/>
      <c r="L9" s="16"/>
      <c r="M9" s="11"/>
      <c r="N9" s="11"/>
      <c r="O9" s="11"/>
      <c r="P9" s="11"/>
      <c r="Q9" s="11"/>
      <c r="R9" s="11"/>
      <c r="S9" s="11"/>
      <c r="T9" s="11"/>
      <c r="U9" s="11"/>
      <c r="V9" s="38"/>
    </row>
    <row r="10" spans="1:24" s="3" customFormat="1" ht="12" customHeight="1" x14ac:dyDescent="0.25">
      <c r="A10" s="18" t="s">
        <v>133</v>
      </c>
      <c r="B10" s="11" t="s">
        <v>0</v>
      </c>
      <c r="K10" s="66"/>
      <c r="L10" s="18" t="s">
        <v>14</v>
      </c>
      <c r="V10" s="16"/>
    </row>
    <row r="11" spans="1:24" s="3" customFormat="1" ht="12" customHeight="1" x14ac:dyDescent="0.2">
      <c r="A11" s="16" t="s">
        <v>157</v>
      </c>
      <c r="B11" s="6">
        <f t="shared" ref="B11:K11" si="7">SUM(B5*B52*B56*B61)</f>
        <v>-1057191.8400000001</v>
      </c>
      <c r="C11" s="6">
        <f t="shared" si="7"/>
        <v>-878304.40875360009</v>
      </c>
      <c r="D11" s="6">
        <f t="shared" si="7"/>
        <v>-719106.83363135881</v>
      </c>
      <c r="E11" s="6">
        <f t="shared" si="7"/>
        <v>-638808.9466286602</v>
      </c>
      <c r="F11" s="6">
        <f t="shared" si="7"/>
        <v>-561674.31890640571</v>
      </c>
      <c r="G11" s="6">
        <f t="shared" si="7"/>
        <v>-560736.6158477579</v>
      </c>
      <c r="H11" s="6">
        <f t="shared" si="7"/>
        <v>-527291.38256729557</v>
      </c>
      <c r="I11" s="6">
        <f t="shared" si="7"/>
        <v>-493540.73925301281</v>
      </c>
      <c r="J11" s="6">
        <f t="shared" si="7"/>
        <v>-459481.74897805444</v>
      </c>
      <c r="K11" s="6">
        <f t="shared" si="7"/>
        <v>-425111.44663530163</v>
      </c>
      <c r="L11" s="16" t="s">
        <v>157</v>
      </c>
      <c r="M11" s="6">
        <f t="shared" ref="M11:V11" si="8">SUM(M5*M52*M56*M61)</f>
        <v>-390426.83866694983</v>
      </c>
      <c r="N11" s="6">
        <f t="shared" si="8"/>
        <v>-355424.90279149776</v>
      </c>
      <c r="O11" s="6">
        <f t="shared" si="8"/>
        <v>-320102.58772811259</v>
      </c>
      <c r="P11" s="6">
        <f t="shared" si="8"/>
        <v>-284456.81291835103</v>
      </c>
      <c r="Q11" s="6">
        <f t="shared" si="8"/>
        <v>-248484.46824521237</v>
      </c>
      <c r="R11" s="6">
        <f t="shared" si="8"/>
        <v>-244009.77581191287</v>
      </c>
      <c r="S11" s="6">
        <f t="shared" si="8"/>
        <v>-201879.60124491778</v>
      </c>
      <c r="T11" s="6">
        <f t="shared" si="8"/>
        <v>-159362.93419972839</v>
      </c>
      <c r="U11" s="6">
        <f t="shared" si="8"/>
        <v>-116456.05877905351</v>
      </c>
      <c r="V11" s="40">
        <f t="shared" si="8"/>
        <v>-73155.22343069606</v>
      </c>
    </row>
    <row r="12" spans="1:24" s="3" customFormat="1" ht="12" customHeight="1" x14ac:dyDescent="0.2">
      <c r="A12" s="16" t="s">
        <v>158</v>
      </c>
      <c r="B12" s="6">
        <f t="shared" ref="B12:K12" si="9">SUM(B5*B53*B57*B61)</f>
        <v>-782032.32000000007</v>
      </c>
      <c r="C12" s="6">
        <f t="shared" si="9"/>
        <v>-649704.63113280013</v>
      </c>
      <c r="D12" s="6">
        <f t="shared" si="9"/>
        <v>-531942.04131634766</v>
      </c>
      <c r="E12" s="6">
        <f t="shared" si="9"/>
        <v>-472543.60435544729</v>
      </c>
      <c r="F12" s="6">
        <f t="shared" si="9"/>
        <v>-415485.11261569744</v>
      </c>
      <c r="G12" s="6">
        <f t="shared" si="9"/>
        <v>-414791.4692572456</v>
      </c>
      <c r="H12" s="6">
        <f t="shared" si="9"/>
        <v>-390051.15970731451</v>
      </c>
      <c r="I12" s="6">
        <f t="shared" si="9"/>
        <v>-365084.93040633824</v>
      </c>
      <c r="J12" s="6">
        <f t="shared" si="9"/>
        <v>-339890.60883308138</v>
      </c>
      <c r="K12" s="6">
        <f t="shared" si="9"/>
        <v>-314466.00162063411</v>
      </c>
      <c r="L12" s="16" t="s">
        <v>158</v>
      </c>
      <c r="M12" s="6">
        <f t="shared" ref="M12:V12" si="10">SUM(M5*M53*M57*M61)</f>
        <v>-288808.89435637381</v>
      </c>
      <c r="N12" s="6">
        <f t="shared" si="10"/>
        <v>-262917.05138001207</v>
      </c>
      <c r="O12" s="6">
        <f t="shared" si="10"/>
        <v>-236788.21557969972</v>
      </c>
      <c r="P12" s="6">
        <f t="shared" si="10"/>
        <v>-210420.10818617744</v>
      </c>
      <c r="Q12" s="6">
        <f t="shared" si="10"/>
        <v>-183810.42856495161</v>
      </c>
      <c r="R12" s="6">
        <f t="shared" si="10"/>
        <v>-180500.38210744242</v>
      </c>
      <c r="S12" s="6">
        <f t="shared" si="10"/>
        <v>-149335.59544144603</v>
      </c>
      <c r="T12" s="6">
        <f t="shared" si="10"/>
        <v>-117884.91022993608</v>
      </c>
      <c r="U12" s="6">
        <f t="shared" si="10"/>
        <v>-86145.577726971082</v>
      </c>
      <c r="V12" s="40">
        <f t="shared" si="10"/>
        <v>-54114.822811747785</v>
      </c>
    </row>
    <row r="13" spans="1:24" s="3" customFormat="1" ht="12" customHeight="1" x14ac:dyDescent="0.2">
      <c r="A13" s="16" t="s">
        <v>169</v>
      </c>
      <c r="B13" s="6">
        <f>SUM((B50/2)*B60*B52*B55*B56*B61)+((B50/2)*B60*B53*B55*B57*B61)</f>
        <v>-1356360</v>
      </c>
      <c r="C13" s="6">
        <f t="shared" ref="C13:K13" si="11">SUM((C50/2)*C60*C52*C55*C56*C61)+((C50/2)*C60*C53*C55*C57*C61)</f>
        <v>-1126850.3243999998</v>
      </c>
      <c r="D13" s="6">
        <f t="shared" si="11"/>
        <v>-922602.41515317559</v>
      </c>
      <c r="E13" s="6">
        <f t="shared" si="11"/>
        <v>-819581.5272744156</v>
      </c>
      <c r="F13" s="6">
        <f t="shared" si="11"/>
        <v>-720619.04979506158</v>
      </c>
      <c r="G13" s="6">
        <f t="shared" si="11"/>
        <v>-625579.12344812322</v>
      </c>
      <c r="H13" s="6">
        <f t="shared" si="11"/>
        <v>-588266.34748916922</v>
      </c>
      <c r="I13" s="6">
        <f t="shared" si="11"/>
        <v>-550612.84446540417</v>
      </c>
      <c r="J13" s="6">
        <f t="shared" si="11"/>
        <v>-512615.33782938059</v>
      </c>
      <c r="K13" s="6">
        <f t="shared" si="11"/>
        <v>-474270.51959467464</v>
      </c>
      <c r="L13" s="16" t="s">
        <v>169</v>
      </c>
      <c r="M13" s="6">
        <f t="shared" ref="M13:V13" si="12">SUM((M50/2)*M60*M52*M55*M56*M61)+((M50/2)*M60*M53*M55*M57*M61)</f>
        <v>-435575.05003419507</v>
      </c>
      <c r="N13" s="6">
        <f t="shared" si="12"/>
        <v>-396525.5573755994</v>
      </c>
      <c r="O13" s="6">
        <f t="shared" si="12"/>
        <v>-357118.63749378768</v>
      </c>
      <c r="P13" s="6">
        <f t="shared" si="12"/>
        <v>-317350.85360044177</v>
      </c>
      <c r="Q13" s="6">
        <f t="shared" si="12"/>
        <v>-277218.73593059106</v>
      </c>
      <c r="R13" s="6">
        <f t="shared" si="12"/>
        <v>-236718.78142616464</v>
      </c>
      <c r="S13" s="6">
        <f t="shared" si="12"/>
        <v>-195847.45341651153</v>
      </c>
      <c r="T13" s="6">
        <f t="shared" si="12"/>
        <v>-154601.18129585235</v>
      </c>
      <c r="U13" s="6">
        <f t="shared" si="12"/>
        <v>-112976.36019763694</v>
      </c>
      <c r="V13" s="40">
        <f t="shared" si="12"/>
        <v>-70969.350665776466</v>
      </c>
    </row>
    <row r="14" spans="1:24" s="3" customFormat="1" ht="15" customHeight="1" x14ac:dyDescent="0.25">
      <c r="A14" s="17" t="s">
        <v>1</v>
      </c>
      <c r="B14" s="12">
        <f>SUM(B8:B13)</f>
        <v>67826415.840000004</v>
      </c>
      <c r="C14" s="12">
        <f t="shared" ref="C14:V14" si="13">SUM(C8:C13)</f>
        <v>68752688.635713607</v>
      </c>
      <c r="D14" s="12">
        <f t="shared" si="13"/>
        <v>69574790.134699121</v>
      </c>
      <c r="E14" s="12">
        <f t="shared" si="13"/>
        <v>70490960.997383386</v>
      </c>
      <c r="F14" s="12">
        <f t="shared" si="13"/>
        <v>71380274.105006263</v>
      </c>
      <c r="G14" s="12">
        <f t="shared" si="13"/>
        <v>82107584.48488006</v>
      </c>
      <c r="H14" s="12">
        <f t="shared" si="13"/>
        <v>83448461.7501515</v>
      </c>
      <c r="I14" s="12">
        <f t="shared" si="13"/>
        <v>84802169.045603171</v>
      </c>
      <c r="J14" s="12">
        <f t="shared" si="13"/>
        <v>86168562.838608146</v>
      </c>
      <c r="K14" s="26">
        <f t="shared" si="13"/>
        <v>87547484.828073636</v>
      </c>
      <c r="L14" s="17" t="s">
        <v>1</v>
      </c>
      <c r="M14" s="12">
        <f t="shared" si="13"/>
        <v>88938761.291555762</v>
      </c>
      <c r="N14" s="12">
        <f t="shared" si="13"/>
        <v>90342202.408536643</v>
      </c>
      <c r="O14" s="12">
        <f t="shared" si="13"/>
        <v>91757601.559062168</v>
      </c>
      <c r="P14" s="12">
        <f t="shared" si="13"/>
        <v>93184734.596912056</v>
      </c>
      <c r="Q14" s="12">
        <f t="shared" si="13"/>
        <v>94623359.096447617</v>
      </c>
      <c r="R14" s="12">
        <f t="shared" si="13"/>
        <v>110026979.486366</v>
      </c>
      <c r="S14" s="12">
        <f t="shared" si="13"/>
        <v>111777525.53320558</v>
      </c>
      <c r="T14" s="12">
        <f t="shared" si="13"/>
        <v>113544409.50112207</v>
      </c>
      <c r="U14" s="12">
        <f t="shared" si="13"/>
        <v>115327420.67366605</v>
      </c>
      <c r="V14" s="39">
        <f t="shared" si="13"/>
        <v>117126328.1120382</v>
      </c>
    </row>
    <row r="15" spans="1:24" s="3" customFormat="1" ht="13.15" customHeight="1" x14ac:dyDescent="0.2">
      <c r="A15" s="30" t="s">
        <v>7</v>
      </c>
      <c r="B15" s="11" t="s">
        <v>0</v>
      </c>
      <c r="K15" s="66"/>
      <c r="L15" s="30" t="s">
        <v>7</v>
      </c>
      <c r="V15" s="16"/>
    </row>
    <row r="16" spans="1:24" s="3" customFormat="1" ht="12" customHeight="1" x14ac:dyDescent="0.2">
      <c r="A16" s="16" t="s">
        <v>8</v>
      </c>
      <c r="B16" s="168">
        <f>SUM('bond calc.'!B54)</f>
        <v>-450000</v>
      </c>
      <c r="C16" s="168">
        <f>SUM('bond calc.'!C54)</f>
        <v>-440000</v>
      </c>
      <c r="D16" s="168">
        <f>SUM('bond calc.'!D54)</f>
        <v>-430000</v>
      </c>
      <c r="E16" s="168">
        <f>SUM('bond calc.'!E54)</f>
        <v>-420000</v>
      </c>
      <c r="F16" s="168">
        <f>SUM('bond calc.'!F54)</f>
        <v>-410000</v>
      </c>
      <c r="G16" s="168">
        <f>SUM('bond calc.'!G54)</f>
        <v>-400000</v>
      </c>
      <c r="H16" s="168">
        <f>SUM('bond calc.'!H54)</f>
        <v>-390000</v>
      </c>
      <c r="I16" s="168">
        <f>SUM('bond calc.'!I54)</f>
        <v>-380000</v>
      </c>
      <c r="J16" s="168">
        <f>SUM('bond calc.'!J54)</f>
        <v>-370000</v>
      </c>
      <c r="K16" s="168">
        <f>SUM('bond calc.'!K54)</f>
        <v>-360000</v>
      </c>
      <c r="L16" s="16" t="s">
        <v>8</v>
      </c>
      <c r="M16" s="167">
        <f>SUM('bond calc.'!B55)</f>
        <v>-350000</v>
      </c>
      <c r="N16" s="167">
        <f>SUM('bond calc.'!C55)</f>
        <v>-340000</v>
      </c>
      <c r="O16" s="167">
        <f>SUM('bond calc.'!D55)</f>
        <v>-330000</v>
      </c>
      <c r="P16" s="167">
        <f>SUM('bond calc.'!E55)</f>
        <v>-320000</v>
      </c>
      <c r="Q16" s="167">
        <f>SUM('bond calc.'!F55)</f>
        <v>-310000</v>
      </c>
      <c r="R16" s="167">
        <f>SUM('bond calc.'!G55)</f>
        <v>-300000</v>
      </c>
      <c r="S16" s="167">
        <f>SUM('bond calc.'!H55)</f>
        <v>-290000</v>
      </c>
      <c r="T16" s="167">
        <f>SUM('bond calc.'!I55)</f>
        <v>-280000</v>
      </c>
      <c r="U16" s="167">
        <f>SUM('bond calc.'!J55)</f>
        <v>-270000</v>
      </c>
      <c r="V16" s="167">
        <f>SUM('bond calc.'!K55)</f>
        <v>-260000</v>
      </c>
      <c r="X16" s="4"/>
    </row>
    <row r="17" spans="1:24" s="3" customFormat="1" ht="12" customHeight="1" x14ac:dyDescent="0.25">
      <c r="A17" s="16" t="s">
        <v>181</v>
      </c>
      <c r="B17" s="10">
        <v>-5646000</v>
      </c>
      <c r="C17" s="4">
        <f t="shared" ref="C17:K17" si="14">SUM(B17*(1+C62))</f>
        <v>-5758920</v>
      </c>
      <c r="D17" s="4">
        <f t="shared" si="14"/>
        <v>-5874098.4000000004</v>
      </c>
      <c r="E17" s="4">
        <f t="shared" si="14"/>
        <v>-5991580.3680000007</v>
      </c>
      <c r="F17" s="4">
        <f t="shared" si="14"/>
        <v>-6111411.9753600005</v>
      </c>
      <c r="G17" s="4">
        <f t="shared" si="14"/>
        <v>-6233640.2148672007</v>
      </c>
      <c r="H17" s="4">
        <f t="shared" si="14"/>
        <v>-6358313.0191645445</v>
      </c>
      <c r="I17" s="4">
        <f t="shared" si="14"/>
        <v>-6485479.2795478357</v>
      </c>
      <c r="J17" s="4">
        <f t="shared" si="14"/>
        <v>-6615188.8651387924</v>
      </c>
      <c r="K17" s="54">
        <f t="shared" si="14"/>
        <v>-6747492.642441568</v>
      </c>
      <c r="L17" s="16" t="s">
        <v>181</v>
      </c>
      <c r="M17" s="4">
        <f>SUM(K17*(1+M62))</f>
        <v>-6882442.4952903995</v>
      </c>
      <c r="N17" s="4">
        <f t="shared" ref="N17:V17" si="15">SUM(M17*(1+N62))</f>
        <v>-7020091.345196208</v>
      </c>
      <c r="O17" s="4">
        <f t="shared" si="15"/>
        <v>-7160493.1721001323</v>
      </c>
      <c r="P17" s="4">
        <f t="shared" si="15"/>
        <v>-7303703.0355421351</v>
      </c>
      <c r="Q17" s="4">
        <f t="shared" si="15"/>
        <v>-7449777.0962529778</v>
      </c>
      <c r="R17" s="4">
        <f t="shared" si="15"/>
        <v>-7598772.6381780375</v>
      </c>
      <c r="S17" s="4">
        <f t="shared" si="15"/>
        <v>-7750748.0909415986</v>
      </c>
      <c r="T17" s="4">
        <f t="shared" si="15"/>
        <v>-7905763.0527604306</v>
      </c>
      <c r="U17" s="4">
        <f t="shared" si="15"/>
        <v>-8063878.3138156394</v>
      </c>
      <c r="V17" s="36">
        <f t="shared" si="15"/>
        <v>-8225155.8800919522</v>
      </c>
      <c r="X17" s="4"/>
    </row>
    <row r="18" spans="1:24" s="3" customFormat="1" ht="14.45" customHeight="1" thickBot="1" x14ac:dyDescent="0.3">
      <c r="A18" s="65" t="s">
        <v>21</v>
      </c>
      <c r="B18" s="5">
        <f t="shared" ref="B18:K18" si="16">SUM(B14:B17)</f>
        <v>61730415.840000004</v>
      </c>
      <c r="C18" s="5">
        <f t="shared" si="16"/>
        <v>62553768.635713607</v>
      </c>
      <c r="D18" s="5">
        <f t="shared" si="16"/>
        <v>63270691.734699123</v>
      </c>
      <c r="E18" s="5">
        <f t="shared" si="16"/>
        <v>64079380.629383385</v>
      </c>
      <c r="F18" s="5">
        <f t="shared" si="16"/>
        <v>64858862.129646264</v>
      </c>
      <c r="G18" s="5">
        <f t="shared" si="16"/>
        <v>75473944.270012856</v>
      </c>
      <c r="H18" s="5">
        <f t="shared" si="16"/>
        <v>76700148.730986953</v>
      </c>
      <c r="I18" s="5">
        <f t="shared" si="16"/>
        <v>77936689.766055331</v>
      </c>
      <c r="J18" s="5">
        <f t="shared" si="16"/>
        <v>79183373.973469347</v>
      </c>
      <c r="K18" s="68">
        <f t="shared" si="16"/>
        <v>80439992.185632065</v>
      </c>
      <c r="L18" s="65" t="s">
        <v>21</v>
      </c>
      <c r="M18" s="5">
        <f t="shared" ref="M18:V18" si="17">SUM(M14:M17)</f>
        <v>81706318.796265364</v>
      </c>
      <c r="N18" s="5">
        <f t="shared" si="17"/>
        <v>82982111.06334044</v>
      </c>
      <c r="O18" s="5">
        <f t="shared" si="17"/>
        <v>84267108.386962041</v>
      </c>
      <c r="P18" s="5">
        <f t="shared" si="17"/>
        <v>85561031.561369926</v>
      </c>
      <c r="Q18" s="5">
        <f t="shared" si="17"/>
        <v>86863582.000194639</v>
      </c>
      <c r="R18" s="5">
        <f t="shared" si="17"/>
        <v>102128206.84818797</v>
      </c>
      <c r="S18" s="5">
        <f t="shared" si="17"/>
        <v>103736777.44226399</v>
      </c>
      <c r="T18" s="5">
        <f t="shared" si="17"/>
        <v>105358646.44836164</v>
      </c>
      <c r="U18" s="5">
        <f t="shared" si="17"/>
        <v>106993542.35985041</v>
      </c>
      <c r="V18" s="42">
        <f t="shared" si="17"/>
        <v>108641172.23194624</v>
      </c>
    </row>
    <row r="19" spans="1:24" s="45" customFormat="1" ht="19.899999999999999" customHeight="1" thickTop="1" x14ac:dyDescent="0.25">
      <c r="A19" s="189" t="s">
        <v>0</v>
      </c>
      <c r="B19" s="189"/>
      <c r="C19" s="189"/>
      <c r="D19" s="189"/>
      <c r="E19" s="189"/>
      <c r="F19" s="189"/>
      <c r="G19" s="189"/>
      <c r="H19" s="189"/>
      <c r="I19" s="189"/>
      <c r="J19" s="189"/>
      <c r="K19" s="189"/>
      <c r="L19" s="189"/>
      <c r="M19" s="189"/>
      <c r="N19" s="189"/>
      <c r="O19" s="189"/>
      <c r="P19" s="189"/>
      <c r="Q19" s="189"/>
      <c r="R19" s="189"/>
      <c r="S19" s="189"/>
      <c r="T19" s="189"/>
      <c r="U19" s="189"/>
      <c r="V19" s="189"/>
    </row>
    <row r="20" spans="1:24" ht="15" customHeight="1" x14ac:dyDescent="0.2">
      <c r="A20" s="186" t="s">
        <v>3</v>
      </c>
      <c r="B20" s="187"/>
      <c r="C20" s="187"/>
      <c r="D20" s="187"/>
      <c r="E20" s="187"/>
      <c r="F20" s="187"/>
      <c r="G20" s="187"/>
      <c r="H20" s="187"/>
      <c r="I20" s="187"/>
      <c r="J20" s="187"/>
      <c r="K20" s="188"/>
      <c r="L20" s="186" t="s">
        <v>3</v>
      </c>
      <c r="M20" s="187"/>
      <c r="N20" s="187"/>
      <c r="O20" s="187"/>
      <c r="P20" s="187"/>
      <c r="Q20" s="187"/>
      <c r="R20" s="187"/>
      <c r="S20" s="187"/>
      <c r="T20" s="187"/>
      <c r="U20" s="187"/>
      <c r="V20" s="187"/>
    </row>
    <row r="21" spans="1:24" s="8" customFormat="1" ht="13.9" customHeight="1" x14ac:dyDescent="0.2">
      <c r="A21" s="14"/>
      <c r="B21" s="13" t="s">
        <v>9</v>
      </c>
      <c r="C21" s="9" t="s">
        <v>10</v>
      </c>
      <c r="D21" s="9" t="s">
        <v>11</v>
      </c>
      <c r="E21" s="9" t="s">
        <v>12</v>
      </c>
      <c r="F21" s="9" t="s">
        <v>13</v>
      </c>
      <c r="G21" s="9" t="s">
        <v>16</v>
      </c>
      <c r="H21" s="9" t="s">
        <v>17</v>
      </c>
      <c r="I21" s="9" t="s">
        <v>18</v>
      </c>
      <c r="J21" s="9" t="s">
        <v>19</v>
      </c>
      <c r="K21" s="46" t="s">
        <v>20</v>
      </c>
      <c r="L21" s="14"/>
      <c r="M21" s="13" t="s">
        <v>28</v>
      </c>
      <c r="N21" s="9" t="s">
        <v>29</v>
      </c>
      <c r="O21" s="9" t="s">
        <v>30</v>
      </c>
      <c r="P21" s="9" t="s">
        <v>31</v>
      </c>
      <c r="Q21" s="9" t="s">
        <v>32</v>
      </c>
      <c r="R21" s="9" t="s">
        <v>33</v>
      </c>
      <c r="S21" s="9" t="s">
        <v>34</v>
      </c>
      <c r="T21" s="9" t="s">
        <v>35</v>
      </c>
      <c r="U21" s="9" t="s">
        <v>36</v>
      </c>
      <c r="V21" s="9" t="s">
        <v>37</v>
      </c>
    </row>
    <row r="22" spans="1:24" s="3" customFormat="1" ht="12" customHeight="1" x14ac:dyDescent="0.25">
      <c r="A22" s="15" t="s">
        <v>135</v>
      </c>
      <c r="B22" s="10"/>
      <c r="K22" s="66"/>
      <c r="L22" s="15" t="s">
        <v>24</v>
      </c>
      <c r="V22" s="44"/>
    </row>
    <row r="23" spans="1:24" ht="12" customHeight="1" x14ac:dyDescent="0.2">
      <c r="A23" s="16" t="s">
        <v>4</v>
      </c>
      <c r="B23" s="11">
        <f t="shared" ref="B23:K23" si="18">SUM(B25*B54)</f>
        <v>45859920</v>
      </c>
      <c r="C23" s="11">
        <f t="shared" si="18"/>
        <v>48180431.952</v>
      </c>
      <c r="D23" s="11">
        <f t="shared" si="18"/>
        <v>50618361.808771208</v>
      </c>
      <c r="E23" s="11">
        <f t="shared" si="18"/>
        <v>52663343.625845566</v>
      </c>
      <c r="F23" s="11">
        <f t="shared" si="18"/>
        <v>54790942.70832973</v>
      </c>
      <c r="G23" s="11">
        <f t="shared" si="18"/>
        <v>65555171.312808186</v>
      </c>
      <c r="H23" s="11">
        <f t="shared" si="18"/>
        <v>67534937.486455008</v>
      </c>
      <c r="I23" s="11">
        <f t="shared" si="18"/>
        <v>69574492.598545954</v>
      </c>
      <c r="J23" s="11">
        <f t="shared" si="18"/>
        <v>71675642.275022045</v>
      </c>
      <c r="K23" s="11">
        <f t="shared" si="18"/>
        <v>73840246.671727702</v>
      </c>
      <c r="L23" s="16" t="s">
        <v>4</v>
      </c>
      <c r="M23" s="11">
        <f t="shared" ref="M23:V23" si="19">SUM(M25*M54)</f>
        <v>76070222.121213883</v>
      </c>
      <c r="N23" s="11">
        <f t="shared" si="19"/>
        <v>78367542.829274535</v>
      </c>
      <c r="O23" s="11">
        <f t="shared" si="19"/>
        <v>80734242.622718632</v>
      </c>
      <c r="P23" s="11">
        <f t="shared" si="19"/>
        <v>83172416.749924734</v>
      </c>
      <c r="Q23" s="11">
        <f t="shared" si="19"/>
        <v>85684223.735772461</v>
      </c>
      <c r="R23" s="11">
        <f t="shared" si="19"/>
        <v>101512670.38648172</v>
      </c>
      <c r="S23" s="11">
        <f t="shared" si="19"/>
        <v>104578353.03215349</v>
      </c>
      <c r="T23" s="11">
        <f t="shared" si="19"/>
        <v>107736619.29372452</v>
      </c>
      <c r="U23" s="11">
        <f t="shared" si="19"/>
        <v>110990265.19639499</v>
      </c>
      <c r="V23" s="38">
        <f t="shared" si="19"/>
        <v>114342171.20532613</v>
      </c>
    </row>
    <row r="24" spans="1:24" ht="12" customHeight="1" x14ac:dyDescent="0.2">
      <c r="A24" s="16" t="s">
        <v>118</v>
      </c>
      <c r="B24" s="11">
        <f t="shared" ref="B24:V24" si="20">SUM(B25-B23)</f>
        <v>14482080</v>
      </c>
      <c r="C24" s="11">
        <f t="shared" si="20"/>
        <v>13368408.048</v>
      </c>
      <c r="D24" s="11">
        <f t="shared" si="20"/>
        <v>12161454.991228797</v>
      </c>
      <c r="E24" s="11">
        <f t="shared" si="20"/>
        <v>11372069.510154434</v>
      </c>
      <c r="F24" s="11">
        <f t="shared" si="20"/>
        <v>10525178.690390266</v>
      </c>
      <c r="G24" s="11">
        <f t="shared" si="20"/>
        <v>11060639.087890372</v>
      </c>
      <c r="H24" s="11">
        <f t="shared" si="20"/>
        <v>10613189.122257531</v>
      </c>
      <c r="I24" s="11">
        <f t="shared" si="20"/>
        <v>10136596.542340845</v>
      </c>
      <c r="J24" s="11">
        <f t="shared" si="20"/>
        <v>9629668.64868249</v>
      </c>
      <c r="K24" s="11">
        <f t="shared" si="20"/>
        <v>9091170.4704509228</v>
      </c>
      <c r="L24" s="16" t="s">
        <v>118</v>
      </c>
      <c r="M24" s="11">
        <f t="shared" si="20"/>
        <v>8519823.363808319</v>
      </c>
      <c r="N24" s="11">
        <f t="shared" si="20"/>
        <v>7914303.5654481053</v>
      </c>
      <c r="O24" s="11">
        <f t="shared" si="20"/>
        <v>7273240.6998984665</v>
      </c>
      <c r="P24" s="11">
        <f t="shared" si="20"/>
        <v>6595216.2391446978</v>
      </c>
      <c r="Q24" s="11">
        <f t="shared" si="20"/>
        <v>5878761.9130783677</v>
      </c>
      <c r="R24" s="11">
        <f t="shared" si="20"/>
        <v>5890711.7796203047</v>
      </c>
      <c r="S24" s="11">
        <f t="shared" si="20"/>
        <v>4973096.7772705853</v>
      </c>
      <c r="T24" s="11">
        <f t="shared" si="20"/>
        <v>4005859.5118880272</v>
      </c>
      <c r="U24" s="11">
        <f t="shared" si="20"/>
        <v>2987063.1853298098</v>
      </c>
      <c r="V24" s="38">
        <f t="shared" si="20"/>
        <v>1914703.7440331727</v>
      </c>
    </row>
    <row r="25" spans="1:24" s="3" customFormat="1" ht="12" customHeight="1" x14ac:dyDescent="0.25">
      <c r="A25" s="24" t="s">
        <v>25</v>
      </c>
      <c r="B25" s="25">
        <f>SUM(B50*B51)</f>
        <v>60342000</v>
      </c>
      <c r="C25" s="25">
        <f t="shared" ref="C25:V25" si="21">SUM(C50*C51)</f>
        <v>61548840</v>
      </c>
      <c r="D25" s="25">
        <f t="shared" si="21"/>
        <v>62779816.800000004</v>
      </c>
      <c r="E25" s="25">
        <f t="shared" si="21"/>
        <v>64035413.136</v>
      </c>
      <c r="F25" s="25">
        <f t="shared" si="21"/>
        <v>65316121.398719996</v>
      </c>
      <c r="G25" s="25">
        <f t="shared" si="21"/>
        <v>76615810.400698557</v>
      </c>
      <c r="H25" s="25">
        <f t="shared" si="21"/>
        <v>78148126.608712539</v>
      </c>
      <c r="I25" s="25">
        <f t="shared" si="21"/>
        <v>79711089.140886799</v>
      </c>
      <c r="J25" s="25">
        <f t="shared" si="21"/>
        <v>81305310.923704535</v>
      </c>
      <c r="K25" s="67">
        <f t="shared" si="21"/>
        <v>82931417.142178625</v>
      </c>
      <c r="L25" s="24" t="s">
        <v>25</v>
      </c>
      <c r="M25" s="25">
        <f t="shared" si="21"/>
        <v>84590045.485022202</v>
      </c>
      <c r="N25" s="25">
        <f t="shared" si="21"/>
        <v>86281846.394722641</v>
      </c>
      <c r="O25" s="25">
        <f t="shared" si="21"/>
        <v>88007483.322617099</v>
      </c>
      <c r="P25" s="25">
        <f t="shared" si="21"/>
        <v>89767632.989069432</v>
      </c>
      <c r="Q25" s="25">
        <f t="shared" si="21"/>
        <v>91562985.648850828</v>
      </c>
      <c r="R25" s="25">
        <f t="shared" si="21"/>
        <v>107403382.16610202</v>
      </c>
      <c r="S25" s="25">
        <f t="shared" si="21"/>
        <v>109551449.80942407</v>
      </c>
      <c r="T25" s="25">
        <f t="shared" si="21"/>
        <v>111742478.80561255</v>
      </c>
      <c r="U25" s="25">
        <f t="shared" si="21"/>
        <v>113977328.3817248</v>
      </c>
      <c r="V25" s="35">
        <f t="shared" si="21"/>
        <v>116256874.9493593</v>
      </c>
    </row>
    <row r="26" spans="1:24" ht="12" customHeight="1" x14ac:dyDescent="0.2">
      <c r="A26" s="16" t="s">
        <v>145</v>
      </c>
      <c r="B26" s="11">
        <f>SUM((((B50*B55)/2)*B60)*0.1)</f>
        <v>1068000</v>
      </c>
      <c r="C26" s="11">
        <f t="shared" ref="C26:K26" si="22">SUM((((C50*C55)/2)*C60)*0.1)</f>
        <v>985870.79999999981</v>
      </c>
      <c r="D26" s="11">
        <f t="shared" si="22"/>
        <v>896862.46247999952</v>
      </c>
      <c r="E26" s="11">
        <f t="shared" si="22"/>
        <v>838648.19396419125</v>
      </c>
      <c r="F26" s="11">
        <f t="shared" si="22"/>
        <v>776193.11876034446</v>
      </c>
      <c r="G26" s="11">
        <f t="shared" si="22"/>
        <v>709288.12927346223</v>
      </c>
      <c r="H26" s="11">
        <f t="shared" si="22"/>
        <v>680594.40312027279</v>
      </c>
      <c r="I26" s="11">
        <f t="shared" si="22"/>
        <v>650031.84188411245</v>
      </c>
      <c r="J26" s="11">
        <f t="shared" si="22"/>
        <v>617523.9610544116</v>
      </c>
      <c r="K26" s="11">
        <f t="shared" si="22"/>
        <v>582991.56537456217</v>
      </c>
      <c r="L26" s="16" t="s">
        <v>145</v>
      </c>
      <c r="M26" s="11">
        <f>SUM((((M50*M55)/2)*M60)*0.1)</f>
        <v>546352.65895910736</v>
      </c>
      <c r="N26" s="11">
        <f t="shared" ref="N26:V26" si="23">SUM((((N50*N55)/2)*N60)*0.1)</f>
        <v>507522.35253611032</v>
      </c>
      <c r="O26" s="11">
        <f t="shared" si="23"/>
        <v>466412.76772466779</v>
      </c>
      <c r="P26" s="11">
        <f t="shared" si="23"/>
        <v>422932.93825475854</v>
      </c>
      <c r="Q26" s="11">
        <f t="shared" si="23"/>
        <v>376988.70803375426</v>
      </c>
      <c r="R26" s="11">
        <f t="shared" si="23"/>
        <v>328482.62596094963</v>
      </c>
      <c r="S26" s="11">
        <f t="shared" si="23"/>
        <v>277313.83738843771</v>
      </c>
      <c r="T26" s="11">
        <f t="shared" si="23"/>
        <v>223377.97212350537</v>
      </c>
      <c r="U26" s="11">
        <f t="shared" si="23"/>
        <v>166567.02886449109</v>
      </c>
      <c r="V26" s="179">
        <f t="shared" si="23"/>
        <v>106769.2559587115</v>
      </c>
    </row>
    <row r="27" spans="1:24" s="27" customFormat="1" ht="16.149999999999999" customHeight="1" x14ac:dyDescent="0.2">
      <c r="A27" s="65" t="s">
        <v>26</v>
      </c>
      <c r="B27" s="26">
        <f>SUM(B25:B26)</f>
        <v>61410000</v>
      </c>
      <c r="C27" s="26">
        <f t="shared" ref="C27:V27" si="24">SUM(C25:C26)</f>
        <v>62534710.799999997</v>
      </c>
      <c r="D27" s="26">
        <f t="shared" si="24"/>
        <v>63676679.262480006</v>
      </c>
      <c r="E27" s="26">
        <f t="shared" si="24"/>
        <v>64874061.329964191</v>
      </c>
      <c r="F27" s="26">
        <f t="shared" si="24"/>
        <v>66092314.517480344</v>
      </c>
      <c r="G27" s="26">
        <f t="shared" si="24"/>
        <v>77325098.529972017</v>
      </c>
      <c r="H27" s="26">
        <f t="shared" si="24"/>
        <v>78828721.011832818</v>
      </c>
      <c r="I27" s="26">
        <f t="shared" si="24"/>
        <v>80361120.982770905</v>
      </c>
      <c r="J27" s="26">
        <f t="shared" si="24"/>
        <v>81922834.884758949</v>
      </c>
      <c r="K27" s="26">
        <f t="shared" si="24"/>
        <v>83514408.707553193</v>
      </c>
      <c r="L27" s="65" t="s">
        <v>26</v>
      </c>
      <c r="M27" s="26">
        <f t="shared" si="24"/>
        <v>85136398.143981308</v>
      </c>
      <c r="N27" s="26">
        <f t="shared" si="24"/>
        <v>86789368.747258753</v>
      </c>
      <c r="O27" s="26">
        <f t="shared" si="24"/>
        <v>88473896.090341762</v>
      </c>
      <c r="P27" s="26">
        <f t="shared" si="24"/>
        <v>90190565.927324191</v>
      </c>
      <c r="Q27" s="26">
        <f t="shared" si="24"/>
        <v>91939974.356884584</v>
      </c>
      <c r="R27" s="26">
        <f t="shared" si="24"/>
        <v>107731864.79206297</v>
      </c>
      <c r="S27" s="26">
        <f t="shared" si="24"/>
        <v>109828763.64681251</v>
      </c>
      <c r="T27" s="26">
        <f t="shared" si="24"/>
        <v>111965856.77773605</v>
      </c>
      <c r="U27" s="26">
        <f t="shared" si="24"/>
        <v>114143895.41058929</v>
      </c>
      <c r="V27" s="39">
        <f t="shared" si="24"/>
        <v>116363644.205318</v>
      </c>
    </row>
    <row r="28" spans="1:24" s="3" customFormat="1" ht="12" customHeight="1" x14ac:dyDescent="0.25">
      <c r="A28" s="16" t="s">
        <v>0</v>
      </c>
      <c r="B28" s="11"/>
      <c r="K28" s="66"/>
      <c r="L28" s="16" t="s">
        <v>0</v>
      </c>
      <c r="V28" s="16"/>
    </row>
    <row r="29" spans="1:24" s="3" customFormat="1" ht="12" customHeight="1" x14ac:dyDescent="0.25">
      <c r="A29" s="18" t="s">
        <v>136</v>
      </c>
      <c r="B29" s="11"/>
      <c r="K29" s="66"/>
      <c r="L29" s="18" t="s">
        <v>14</v>
      </c>
      <c r="V29" s="16"/>
    </row>
    <row r="30" spans="1:24" s="3" customFormat="1" ht="12" customHeight="1" x14ac:dyDescent="0.2">
      <c r="A30" s="16" t="s">
        <v>157</v>
      </c>
      <c r="B30" s="6">
        <f t="shared" ref="B30:K30" si="25">SUM(B5*B52*B56*B61)*0.1</f>
        <v>-105719.18400000001</v>
      </c>
      <c r="C30" s="6">
        <f t="shared" si="25"/>
        <v>-87830.440875360015</v>
      </c>
      <c r="D30" s="6">
        <f t="shared" si="25"/>
        <v>-71910.68336313589</v>
      </c>
      <c r="E30" s="6">
        <f t="shared" si="25"/>
        <v>-63880.89466286602</v>
      </c>
      <c r="F30" s="6">
        <f t="shared" si="25"/>
        <v>-56167.431890640575</v>
      </c>
      <c r="G30" s="6">
        <f t="shared" si="25"/>
        <v>-56073.661584775793</v>
      </c>
      <c r="H30" s="6">
        <f t="shared" si="25"/>
        <v>-52729.138256729559</v>
      </c>
      <c r="I30" s="6">
        <f t="shared" si="25"/>
        <v>-49354.073925301287</v>
      </c>
      <c r="J30" s="6">
        <f t="shared" si="25"/>
        <v>-45948.174897805446</v>
      </c>
      <c r="K30" s="6">
        <f t="shared" si="25"/>
        <v>-42511.144663530169</v>
      </c>
      <c r="L30" s="16" t="s">
        <v>157</v>
      </c>
      <c r="M30" s="6">
        <f t="shared" ref="M30:V30" si="26">SUM(M5*M52*M56*M61)*0.1</f>
        <v>-39042.683866694984</v>
      </c>
      <c r="N30" s="6">
        <f t="shared" si="26"/>
        <v>-35542.490279149781</v>
      </c>
      <c r="O30" s="6">
        <f t="shared" si="26"/>
        <v>-32010.258772811259</v>
      </c>
      <c r="P30" s="6">
        <f t="shared" si="26"/>
        <v>-28445.681291835106</v>
      </c>
      <c r="Q30" s="6">
        <f t="shared" si="26"/>
        <v>-24848.446824521237</v>
      </c>
      <c r="R30" s="6">
        <f t="shared" si="26"/>
        <v>-24400.977581191288</v>
      </c>
      <c r="S30" s="6">
        <f t="shared" si="26"/>
        <v>-20187.960124491779</v>
      </c>
      <c r="T30" s="6">
        <f t="shared" si="26"/>
        <v>-15936.293419972841</v>
      </c>
      <c r="U30" s="6">
        <f t="shared" si="26"/>
        <v>-11645.605877905351</v>
      </c>
      <c r="V30" s="40">
        <f t="shared" si="26"/>
        <v>-7315.522343069606</v>
      </c>
    </row>
    <row r="31" spans="1:24" s="3" customFormat="1" ht="12" customHeight="1" x14ac:dyDescent="0.25">
      <c r="A31" s="16" t="s">
        <v>158</v>
      </c>
      <c r="B31" s="10">
        <f t="shared" ref="B31:K31" si="27">SUM(B5*B53*B57*B61)*0.1</f>
        <v>-78203.232000000004</v>
      </c>
      <c r="C31" s="10">
        <f t="shared" si="27"/>
        <v>-64970.463113280013</v>
      </c>
      <c r="D31" s="10">
        <f t="shared" si="27"/>
        <v>-53194.204131634768</v>
      </c>
      <c r="E31" s="10">
        <f t="shared" si="27"/>
        <v>-47254.360435544731</v>
      </c>
      <c r="F31" s="10">
        <f t="shared" si="27"/>
        <v>-41548.511261569744</v>
      </c>
      <c r="G31" s="10">
        <f t="shared" si="27"/>
        <v>-41479.146925724563</v>
      </c>
      <c r="H31" s="10">
        <f t="shared" si="27"/>
        <v>-39005.115970731451</v>
      </c>
      <c r="I31" s="10">
        <f t="shared" si="27"/>
        <v>-36508.493040633824</v>
      </c>
      <c r="J31" s="10">
        <f t="shared" si="27"/>
        <v>-33989.060883308142</v>
      </c>
      <c r="K31" s="10">
        <f t="shared" si="27"/>
        <v>-31446.600162063412</v>
      </c>
      <c r="L31" s="16" t="s">
        <v>158</v>
      </c>
      <c r="M31" s="10">
        <f t="shared" ref="M31:V31" si="28">SUM(M5*M53*M57*M61)*0.1</f>
        <v>-28880.889435637382</v>
      </c>
      <c r="N31" s="10">
        <f t="shared" si="28"/>
        <v>-26291.705138001209</v>
      </c>
      <c r="O31" s="10">
        <f t="shared" si="28"/>
        <v>-23678.821557969975</v>
      </c>
      <c r="P31" s="10">
        <f t="shared" si="28"/>
        <v>-21042.010818617746</v>
      </c>
      <c r="Q31" s="10">
        <f t="shared" si="28"/>
        <v>-18381.042856495162</v>
      </c>
      <c r="R31" s="10">
        <f t="shared" si="28"/>
        <v>-18050.038210744242</v>
      </c>
      <c r="S31" s="10">
        <f t="shared" si="28"/>
        <v>-14933.559544144604</v>
      </c>
      <c r="T31" s="10">
        <f t="shared" si="28"/>
        <v>-11788.491022993609</v>
      </c>
      <c r="U31" s="10">
        <f t="shared" si="28"/>
        <v>-8614.5577726971078</v>
      </c>
      <c r="V31" s="38">
        <f t="shared" si="28"/>
        <v>-5411.482281174779</v>
      </c>
    </row>
    <row r="32" spans="1:24" s="3" customFormat="1" ht="12" customHeight="1" x14ac:dyDescent="0.2">
      <c r="A32" s="16" t="s">
        <v>169</v>
      </c>
      <c r="B32" s="6">
        <f>B13*0.1</f>
        <v>-135636</v>
      </c>
      <c r="C32" s="6">
        <f t="shared" ref="C32:V32" si="29">C13*0.1</f>
        <v>-112685.03243999998</v>
      </c>
      <c r="D32" s="6">
        <f t="shared" si="29"/>
        <v>-92260.241515317568</v>
      </c>
      <c r="E32" s="6">
        <f t="shared" si="29"/>
        <v>-81958.152727441571</v>
      </c>
      <c r="F32" s="6">
        <f t="shared" si="29"/>
        <v>-72061.904979506158</v>
      </c>
      <c r="G32" s="6">
        <f t="shared" si="29"/>
        <v>-62557.912344812328</v>
      </c>
      <c r="H32" s="6">
        <f t="shared" si="29"/>
        <v>-58826.634748916927</v>
      </c>
      <c r="I32" s="6">
        <f t="shared" si="29"/>
        <v>-55061.28444654042</v>
      </c>
      <c r="J32" s="6">
        <f t="shared" si="29"/>
        <v>-51261.533782938059</v>
      </c>
      <c r="K32" s="6">
        <f t="shared" si="29"/>
        <v>-47427.05195946747</v>
      </c>
      <c r="L32" s="16" t="s">
        <v>169</v>
      </c>
      <c r="M32" s="6">
        <f t="shared" si="29"/>
        <v>-43557.505003419508</v>
      </c>
      <c r="N32" s="6">
        <f t="shared" si="29"/>
        <v>-39652.555737559946</v>
      </c>
      <c r="O32" s="6">
        <f t="shared" si="29"/>
        <v>-35711.863749378768</v>
      </c>
      <c r="P32" s="6">
        <f t="shared" si="29"/>
        <v>-31735.085360044177</v>
      </c>
      <c r="Q32" s="6">
        <f t="shared" si="29"/>
        <v>-27721.873593059106</v>
      </c>
      <c r="R32" s="6">
        <f t="shared" si="29"/>
        <v>-23671.878142616464</v>
      </c>
      <c r="S32" s="6">
        <f t="shared" si="29"/>
        <v>-19584.745341651153</v>
      </c>
      <c r="T32" s="6">
        <f t="shared" si="29"/>
        <v>-15460.118129585237</v>
      </c>
      <c r="U32" s="6">
        <f t="shared" si="29"/>
        <v>-11297.636019763695</v>
      </c>
      <c r="V32" s="6">
        <f t="shared" si="29"/>
        <v>-7096.9350665776474</v>
      </c>
      <c r="X32" s="3" t="s">
        <v>0</v>
      </c>
    </row>
    <row r="33" spans="1:24" s="3" customFormat="1" ht="12" customHeight="1" x14ac:dyDescent="0.25">
      <c r="A33" s="65" t="s">
        <v>15</v>
      </c>
      <c r="B33" s="12">
        <f>SUM(B27:B32)</f>
        <v>61090441.583999999</v>
      </c>
      <c r="C33" s="12">
        <f t="shared" ref="C33:V33" si="30">SUM(C27:C32)</f>
        <v>62269224.863571361</v>
      </c>
      <c r="D33" s="12">
        <f t="shared" si="30"/>
        <v>63459314.133469924</v>
      </c>
      <c r="E33" s="12">
        <f t="shared" si="30"/>
        <v>64680967.922138341</v>
      </c>
      <c r="F33" s="12">
        <f t="shared" si="30"/>
        <v>65922536.669348627</v>
      </c>
      <c r="G33" s="12">
        <f t="shared" si="30"/>
        <v>77164987.809116706</v>
      </c>
      <c r="H33" s="12">
        <f t="shared" si="30"/>
        <v>78678160.122856438</v>
      </c>
      <c r="I33" s="12">
        <f t="shared" si="30"/>
        <v>80220197.13135843</v>
      </c>
      <c r="J33" s="12">
        <f t="shared" si="30"/>
        <v>81791636.115194887</v>
      </c>
      <c r="K33" s="26">
        <f t="shared" si="30"/>
        <v>83393023.910768136</v>
      </c>
      <c r="L33" s="65" t="s">
        <v>15</v>
      </c>
      <c r="M33" s="12">
        <f t="shared" si="30"/>
        <v>85024917.065675557</v>
      </c>
      <c r="N33" s="12">
        <f t="shared" si="30"/>
        <v>86687881.996104047</v>
      </c>
      <c r="O33" s="12">
        <f t="shared" si="30"/>
        <v>88382495.146261603</v>
      </c>
      <c r="P33" s="12">
        <f t="shared" si="30"/>
        <v>90109343.149853691</v>
      </c>
      <c r="Q33" s="12">
        <f t="shared" si="30"/>
        <v>91869022.993610501</v>
      </c>
      <c r="R33" s="12">
        <f t="shared" si="30"/>
        <v>107665741.89812842</v>
      </c>
      <c r="S33" s="12">
        <f t="shared" si="30"/>
        <v>109774057.38180222</v>
      </c>
      <c r="T33" s="12">
        <f t="shared" si="30"/>
        <v>111922671.87516351</v>
      </c>
      <c r="U33" s="12">
        <f t="shared" si="30"/>
        <v>114112337.61091892</v>
      </c>
      <c r="V33" s="39">
        <f t="shared" si="30"/>
        <v>116343820.26562718</v>
      </c>
    </row>
    <row r="34" spans="1:24" s="19" customFormat="1" ht="16.899999999999999" customHeight="1" x14ac:dyDescent="0.2">
      <c r="A34" s="30" t="s">
        <v>7</v>
      </c>
      <c r="B34" s="31"/>
      <c r="K34" s="69"/>
      <c r="L34" s="30" t="s">
        <v>7</v>
      </c>
      <c r="V34" s="41"/>
    </row>
    <row r="35" spans="1:24" s="3" customFormat="1" ht="12" customHeight="1" x14ac:dyDescent="0.25">
      <c r="A35" s="16" t="s">
        <v>8</v>
      </c>
      <c r="B35" s="21">
        <f>SUM('bond calc.'!B26)</f>
        <v>-3690000</v>
      </c>
      <c r="C35" s="21">
        <f>SUM('bond calc.'!C26)</f>
        <v>-3608000</v>
      </c>
      <c r="D35" s="21">
        <f>SUM('bond calc.'!D26)</f>
        <v>-3526000</v>
      </c>
      <c r="E35" s="21">
        <f>SUM('bond calc.'!E26)</f>
        <v>-3444000</v>
      </c>
      <c r="F35" s="21">
        <f>SUM('bond calc.'!F26)</f>
        <v>-3362000</v>
      </c>
      <c r="G35" s="21">
        <f>SUM('bond calc.'!G26)</f>
        <v>-3280000</v>
      </c>
      <c r="H35" s="21">
        <f>SUM('bond calc.'!H26)</f>
        <v>-3198000</v>
      </c>
      <c r="I35" s="21">
        <f>SUM('bond calc.'!I26)</f>
        <v>-3116000</v>
      </c>
      <c r="J35" s="21">
        <f>SUM('bond calc.'!J26)</f>
        <v>-3034000</v>
      </c>
      <c r="K35" s="21">
        <f>SUM('bond calc.'!K26)</f>
        <v>-2952000</v>
      </c>
      <c r="L35" s="16" t="s">
        <v>8</v>
      </c>
      <c r="M35" s="11">
        <f>SUM('bond calc.'!B27)</f>
        <v>-2870000</v>
      </c>
      <c r="N35" s="11">
        <f>SUM('bond calc.'!C27)</f>
        <v>-2788000</v>
      </c>
      <c r="O35" s="11">
        <f>SUM('bond calc.'!D27)</f>
        <v>-2706000</v>
      </c>
      <c r="P35" s="11">
        <f>SUM('bond calc.'!E27)</f>
        <v>-2624000</v>
      </c>
      <c r="Q35" s="11">
        <f>SUM('bond calc.'!F27)</f>
        <v>-2542000</v>
      </c>
      <c r="R35" s="11">
        <f>SUM('bond calc.'!G27)</f>
        <v>-2460000</v>
      </c>
      <c r="S35" s="11">
        <f>SUM('bond calc.'!H27)</f>
        <v>-2378000</v>
      </c>
      <c r="T35" s="11">
        <f>SUM('bond calc.'!I27)</f>
        <v>-2296000</v>
      </c>
      <c r="U35" s="11">
        <f>SUM('bond calc.'!J27)</f>
        <v>-2214000</v>
      </c>
      <c r="V35" s="11">
        <f>SUM('bond calc.'!K27)</f>
        <v>-2132000</v>
      </c>
    </row>
    <row r="36" spans="1:24" s="3" customFormat="1" ht="12" customHeight="1" x14ac:dyDescent="0.25">
      <c r="A36" s="16" t="s">
        <v>181</v>
      </c>
      <c r="B36" s="11">
        <v>-5436000</v>
      </c>
      <c r="C36" s="4">
        <f t="shared" ref="C36:K36" si="31">SUM((B36*(1+C62)))</f>
        <v>-5544720</v>
      </c>
      <c r="D36" s="4">
        <f t="shared" si="31"/>
        <v>-5655614.4000000004</v>
      </c>
      <c r="E36" s="4">
        <f t="shared" si="31"/>
        <v>-5768726.6880000001</v>
      </c>
      <c r="F36" s="4">
        <f t="shared" si="31"/>
        <v>-5884101.2217600001</v>
      </c>
      <c r="G36" s="4">
        <f t="shared" si="31"/>
        <v>-6001783.2461951999</v>
      </c>
      <c r="H36" s="4">
        <f t="shared" si="31"/>
        <v>-6121818.9111191044</v>
      </c>
      <c r="I36" s="4">
        <f t="shared" si="31"/>
        <v>-6244255.289341487</v>
      </c>
      <c r="J36" s="4">
        <f t="shared" si="31"/>
        <v>-6369140.3951283172</v>
      </c>
      <c r="K36" s="54">
        <f t="shared" si="31"/>
        <v>-6496523.2030308833</v>
      </c>
      <c r="L36" s="16" t="s">
        <v>181</v>
      </c>
      <c r="M36" s="4">
        <f>SUM((K36*(1+M62)))</f>
        <v>-6626453.6670915009</v>
      </c>
      <c r="N36" s="4">
        <f t="shared" ref="N36:V36" si="32">SUM((M36*(1+N62)))</f>
        <v>-6758982.7404333306</v>
      </c>
      <c r="O36" s="4">
        <f t="shared" si="32"/>
        <v>-6894162.3952419972</v>
      </c>
      <c r="P36" s="4">
        <f t="shared" si="32"/>
        <v>-7032045.6431468371</v>
      </c>
      <c r="Q36" s="4">
        <f t="shared" si="32"/>
        <v>-7172686.5560097741</v>
      </c>
      <c r="R36" s="4">
        <f t="shared" si="32"/>
        <v>-7316140.2871299693</v>
      </c>
      <c r="S36" s="4">
        <f t="shared" si="32"/>
        <v>-7462463.0928725684</v>
      </c>
      <c r="T36" s="4">
        <f t="shared" si="32"/>
        <v>-7611712.3547300203</v>
      </c>
      <c r="U36" s="4">
        <f t="shared" si="32"/>
        <v>-7763946.6018246207</v>
      </c>
      <c r="V36" s="36">
        <f t="shared" si="32"/>
        <v>-7919225.5338611137</v>
      </c>
    </row>
    <row r="37" spans="1:24" s="3" customFormat="1" ht="12" customHeight="1" x14ac:dyDescent="0.25">
      <c r="A37" s="16" t="s">
        <v>38</v>
      </c>
      <c r="B37" s="11">
        <f t="shared" ref="B37:K37" si="33">SUM(B89)</f>
        <v>0</v>
      </c>
      <c r="C37" s="11">
        <f t="shared" si="33"/>
        <v>0</v>
      </c>
      <c r="D37" s="11">
        <f t="shared" si="33"/>
        <v>0</v>
      </c>
      <c r="E37" s="11">
        <f t="shared" si="33"/>
        <v>0</v>
      </c>
      <c r="F37" s="11">
        <f t="shared" si="33"/>
        <v>-115000</v>
      </c>
      <c r="G37" s="11">
        <f t="shared" si="33"/>
        <v>0</v>
      </c>
      <c r="H37" s="11">
        <f t="shared" si="33"/>
        <v>0</v>
      </c>
      <c r="I37" s="11">
        <f t="shared" si="33"/>
        <v>-13600</v>
      </c>
      <c r="J37" s="11">
        <f t="shared" si="33"/>
        <v>0</v>
      </c>
      <c r="K37" s="11">
        <f t="shared" si="33"/>
        <v>-115000</v>
      </c>
      <c r="L37" s="16" t="s">
        <v>38</v>
      </c>
      <c r="M37" s="11">
        <f t="shared" ref="M37:V37" si="34">SUM(M89)</f>
        <v>0</v>
      </c>
      <c r="N37" s="11">
        <f t="shared" si="34"/>
        <v>0</v>
      </c>
      <c r="O37" s="11">
        <f t="shared" si="34"/>
        <v>0</v>
      </c>
      <c r="P37" s="11">
        <f t="shared" si="34"/>
        <v>0</v>
      </c>
      <c r="Q37" s="11">
        <f t="shared" si="34"/>
        <v>-3253000</v>
      </c>
      <c r="R37" s="11">
        <f t="shared" si="34"/>
        <v>-13600</v>
      </c>
      <c r="S37" s="11">
        <f t="shared" si="34"/>
        <v>0</v>
      </c>
      <c r="T37" s="11">
        <f t="shared" si="34"/>
        <v>0</v>
      </c>
      <c r="U37" s="11">
        <f t="shared" si="34"/>
        <v>0</v>
      </c>
      <c r="V37" s="38">
        <f t="shared" si="34"/>
        <v>-929000</v>
      </c>
    </row>
    <row r="38" spans="1:24" s="3" customFormat="1" ht="15" customHeight="1" thickBot="1" x14ac:dyDescent="0.3">
      <c r="A38" s="65" t="s">
        <v>22</v>
      </c>
      <c r="B38" s="5">
        <f t="shared" ref="B38:K38" si="35">SUM(B33:B37)</f>
        <v>51964441.583999999</v>
      </c>
      <c r="C38" s="5">
        <f t="shared" si="35"/>
        <v>53116504.863571361</v>
      </c>
      <c r="D38" s="5">
        <f t="shared" si="35"/>
        <v>54277699.733469926</v>
      </c>
      <c r="E38" s="5">
        <f t="shared" si="35"/>
        <v>55468241.23413834</v>
      </c>
      <c r="F38" s="5">
        <f t="shared" si="35"/>
        <v>56561435.44758863</v>
      </c>
      <c r="G38" s="5">
        <f t="shared" si="35"/>
        <v>67883204.562921509</v>
      </c>
      <c r="H38" s="5">
        <f t="shared" si="35"/>
        <v>69358341.211737335</v>
      </c>
      <c r="I38" s="5">
        <f t="shared" si="35"/>
        <v>70846341.842016935</v>
      </c>
      <c r="J38" s="5">
        <f t="shared" si="35"/>
        <v>72388495.720066577</v>
      </c>
      <c r="K38" s="68">
        <f t="shared" si="35"/>
        <v>73829500.707737252</v>
      </c>
      <c r="L38" s="65" t="s">
        <v>22</v>
      </c>
      <c r="M38" s="5">
        <f t="shared" ref="M38:V38" si="36">SUM(M33:M37)</f>
        <v>75528463.398584053</v>
      </c>
      <c r="N38" s="5">
        <f t="shared" si="36"/>
        <v>77140899.255670711</v>
      </c>
      <c r="O38" s="5">
        <f t="shared" si="36"/>
        <v>78782332.751019612</v>
      </c>
      <c r="P38" s="5">
        <f t="shared" si="36"/>
        <v>80453297.506706849</v>
      </c>
      <c r="Q38" s="5">
        <f t="shared" si="36"/>
        <v>78901336.437600732</v>
      </c>
      <c r="R38" s="5">
        <f t="shared" si="36"/>
        <v>97876001.610998452</v>
      </c>
      <c r="S38" s="5">
        <f t="shared" si="36"/>
        <v>99933594.288929641</v>
      </c>
      <c r="T38" s="5">
        <f t="shared" si="36"/>
        <v>102014959.52043349</v>
      </c>
      <c r="U38" s="5">
        <f t="shared" si="36"/>
        <v>104134391.0090943</v>
      </c>
      <c r="V38" s="42">
        <f t="shared" si="36"/>
        <v>105363594.73176606</v>
      </c>
    </row>
    <row r="39" spans="1:24" s="3" customFormat="1" ht="19.899999999999999" customHeight="1" thickTop="1" x14ac:dyDescent="0.25">
      <c r="A39" s="189"/>
      <c r="B39" s="189"/>
      <c r="C39" s="189"/>
      <c r="D39" s="189"/>
      <c r="E39" s="189"/>
      <c r="F39" s="189"/>
      <c r="G39" s="189"/>
      <c r="H39" s="189"/>
      <c r="I39" s="189"/>
      <c r="J39" s="189"/>
      <c r="K39" s="189"/>
      <c r="L39" s="189"/>
      <c r="M39" s="189"/>
      <c r="N39" s="189"/>
      <c r="O39" s="189"/>
      <c r="P39" s="189"/>
      <c r="Q39" s="189"/>
      <c r="R39" s="189"/>
      <c r="S39" s="189"/>
      <c r="T39" s="189"/>
      <c r="U39" s="189"/>
      <c r="V39" s="189"/>
    </row>
    <row r="40" spans="1:24" s="1" customFormat="1" ht="15" customHeight="1" x14ac:dyDescent="0.2">
      <c r="A40" s="186" t="s">
        <v>27</v>
      </c>
      <c r="B40" s="187"/>
      <c r="C40" s="187"/>
      <c r="D40" s="187"/>
      <c r="E40" s="187"/>
      <c r="F40" s="187"/>
      <c r="G40" s="187"/>
      <c r="H40" s="187"/>
      <c r="I40" s="187"/>
      <c r="J40" s="187"/>
      <c r="K40" s="188"/>
      <c r="L40" s="186" t="s">
        <v>27</v>
      </c>
      <c r="M40" s="187"/>
      <c r="N40" s="187"/>
      <c r="O40" s="187"/>
      <c r="P40" s="187"/>
      <c r="Q40" s="187"/>
      <c r="R40" s="187"/>
      <c r="S40" s="187"/>
      <c r="T40" s="187"/>
      <c r="U40" s="187"/>
      <c r="V40" s="188"/>
      <c r="W40" s="2"/>
      <c r="X40" s="2"/>
    </row>
    <row r="41" spans="1:24" ht="12" customHeight="1" x14ac:dyDescent="0.2">
      <c r="A41" s="34" t="s">
        <v>21</v>
      </c>
      <c r="B41" s="11">
        <f>SUM(B18)</f>
        <v>61730415.840000004</v>
      </c>
      <c r="C41" s="11">
        <f t="shared" ref="C41:V41" si="37">SUM(C18)</f>
        <v>62553768.635713607</v>
      </c>
      <c r="D41" s="11">
        <f t="shared" si="37"/>
        <v>63270691.734699123</v>
      </c>
      <c r="E41" s="11">
        <f t="shared" si="37"/>
        <v>64079380.629383385</v>
      </c>
      <c r="F41" s="11">
        <f t="shared" si="37"/>
        <v>64858862.129646264</v>
      </c>
      <c r="G41" s="11">
        <f t="shared" si="37"/>
        <v>75473944.270012856</v>
      </c>
      <c r="H41" s="11">
        <f t="shared" si="37"/>
        <v>76700148.730986953</v>
      </c>
      <c r="I41" s="11">
        <f t="shared" si="37"/>
        <v>77936689.766055331</v>
      </c>
      <c r="J41" s="11">
        <f t="shared" si="37"/>
        <v>79183373.973469347</v>
      </c>
      <c r="K41" s="67">
        <f t="shared" si="37"/>
        <v>80439992.185632065</v>
      </c>
      <c r="L41" s="24" t="s">
        <v>21</v>
      </c>
      <c r="M41" s="11">
        <f t="shared" si="37"/>
        <v>81706318.796265364</v>
      </c>
      <c r="N41" s="11">
        <f t="shared" si="37"/>
        <v>82982111.06334044</v>
      </c>
      <c r="O41" s="11">
        <f t="shared" si="37"/>
        <v>84267108.386962041</v>
      </c>
      <c r="P41" s="11">
        <f t="shared" si="37"/>
        <v>85561031.561369926</v>
      </c>
      <c r="Q41" s="11">
        <f t="shared" si="37"/>
        <v>86863582.000194639</v>
      </c>
      <c r="R41" s="11">
        <f t="shared" si="37"/>
        <v>102128206.84818797</v>
      </c>
      <c r="S41" s="11">
        <f t="shared" si="37"/>
        <v>103736777.44226399</v>
      </c>
      <c r="T41" s="11">
        <f t="shared" si="37"/>
        <v>105358646.44836164</v>
      </c>
      <c r="U41" s="11">
        <f t="shared" si="37"/>
        <v>106993542.35985041</v>
      </c>
      <c r="V41" s="35">
        <f t="shared" si="37"/>
        <v>108641172.23194624</v>
      </c>
      <c r="W41" s="3"/>
      <c r="X41" s="3"/>
    </row>
    <row r="42" spans="1:24" s="3" customFormat="1" ht="12" customHeight="1" x14ac:dyDescent="0.25">
      <c r="A42" s="24" t="s">
        <v>22</v>
      </c>
      <c r="B42" s="4">
        <f>SUM(B38)</f>
        <v>51964441.583999999</v>
      </c>
      <c r="C42" s="4">
        <f t="shared" ref="C42:V42" si="38">SUM(C38)</f>
        <v>53116504.863571361</v>
      </c>
      <c r="D42" s="4">
        <f t="shared" si="38"/>
        <v>54277699.733469926</v>
      </c>
      <c r="E42" s="4">
        <f t="shared" si="38"/>
        <v>55468241.23413834</v>
      </c>
      <c r="F42" s="4">
        <f t="shared" si="38"/>
        <v>56561435.44758863</v>
      </c>
      <c r="G42" s="4">
        <f t="shared" si="38"/>
        <v>67883204.562921509</v>
      </c>
      <c r="H42" s="4">
        <f t="shared" si="38"/>
        <v>69358341.211737335</v>
      </c>
      <c r="I42" s="4">
        <f t="shared" si="38"/>
        <v>70846341.842016935</v>
      </c>
      <c r="J42" s="4">
        <f t="shared" si="38"/>
        <v>72388495.720066577</v>
      </c>
      <c r="K42" s="54">
        <f t="shared" si="38"/>
        <v>73829500.707737252</v>
      </c>
      <c r="L42" s="24" t="s">
        <v>22</v>
      </c>
      <c r="M42" s="4">
        <f t="shared" si="38"/>
        <v>75528463.398584053</v>
      </c>
      <c r="N42" s="4">
        <f t="shared" si="38"/>
        <v>77140899.255670711</v>
      </c>
      <c r="O42" s="4">
        <f t="shared" si="38"/>
        <v>78782332.751019612</v>
      </c>
      <c r="P42" s="4">
        <f t="shared" si="38"/>
        <v>80453297.506706849</v>
      </c>
      <c r="Q42" s="4">
        <f t="shared" si="38"/>
        <v>78901336.437600732</v>
      </c>
      <c r="R42" s="4">
        <f t="shared" si="38"/>
        <v>97876001.610998452</v>
      </c>
      <c r="S42" s="4">
        <f t="shared" si="38"/>
        <v>99933594.288929641</v>
      </c>
      <c r="T42" s="4">
        <f t="shared" si="38"/>
        <v>102014959.52043349</v>
      </c>
      <c r="U42" s="4">
        <f t="shared" si="38"/>
        <v>104134391.0090943</v>
      </c>
      <c r="V42" s="36">
        <f t="shared" si="38"/>
        <v>105363594.73176606</v>
      </c>
      <c r="W42" s="29"/>
      <c r="X42" s="29"/>
    </row>
    <row r="43" spans="1:24" s="29" customFormat="1" ht="18" customHeight="1" thickBot="1" x14ac:dyDescent="0.3">
      <c r="A43" s="65" t="s">
        <v>23</v>
      </c>
      <c r="B43" s="28">
        <f>SUM(B41-B42)</f>
        <v>9765974.2560000047</v>
      </c>
      <c r="C43" s="28">
        <f t="shared" ref="C43:V43" si="39">SUM(C41-C42)</f>
        <v>9437263.7721422464</v>
      </c>
      <c r="D43" s="28">
        <f t="shared" si="39"/>
        <v>8992992.0012291968</v>
      </c>
      <c r="E43" s="28">
        <f t="shared" si="39"/>
        <v>8611139.3952450454</v>
      </c>
      <c r="F43" s="28">
        <f t="shared" si="39"/>
        <v>8297426.682057634</v>
      </c>
      <c r="G43" s="28">
        <f t="shared" si="39"/>
        <v>7590739.7070913464</v>
      </c>
      <c r="H43" s="28">
        <f t="shared" si="39"/>
        <v>7341807.5192496181</v>
      </c>
      <c r="I43" s="28">
        <f t="shared" si="39"/>
        <v>7090347.9240383953</v>
      </c>
      <c r="J43" s="28">
        <f t="shared" si="39"/>
        <v>6794878.2534027696</v>
      </c>
      <c r="K43" s="28">
        <f t="shared" si="39"/>
        <v>6610491.4778948128</v>
      </c>
      <c r="L43" s="17" t="s">
        <v>132</v>
      </c>
      <c r="M43" s="28">
        <f t="shared" si="39"/>
        <v>6177855.3976813108</v>
      </c>
      <c r="N43" s="28">
        <f t="shared" si="39"/>
        <v>5841211.807669729</v>
      </c>
      <c r="O43" s="28">
        <f t="shared" si="39"/>
        <v>5484775.6359424293</v>
      </c>
      <c r="P43" s="28">
        <f t="shared" si="39"/>
        <v>5107734.054663077</v>
      </c>
      <c r="Q43" s="28">
        <f t="shared" si="39"/>
        <v>7962245.5625939071</v>
      </c>
      <c r="R43" s="28">
        <f t="shared" si="39"/>
        <v>4252205.2371895164</v>
      </c>
      <c r="S43" s="28">
        <f t="shared" si="39"/>
        <v>3803183.1533343494</v>
      </c>
      <c r="T43" s="28">
        <f t="shared" si="39"/>
        <v>3343686.9279281497</v>
      </c>
      <c r="U43" s="28">
        <f t="shared" si="39"/>
        <v>2859151.3507561088</v>
      </c>
      <c r="V43" s="37">
        <f t="shared" si="39"/>
        <v>3277577.5001801848</v>
      </c>
    </row>
    <row r="44" spans="1:24" s="59" customFormat="1" ht="16.149999999999999" customHeight="1" thickTop="1" x14ac:dyDescent="0.25">
      <c r="A44" s="55" t="s">
        <v>171</v>
      </c>
      <c r="B44" s="56">
        <f>SUM(B43)</f>
        <v>9765974.2560000047</v>
      </c>
      <c r="C44" s="57">
        <f>SUM(B44+C43)</f>
        <v>19203238.028142251</v>
      </c>
      <c r="D44" s="57">
        <f t="shared" ref="D44:V44" si="40">SUM(C44+D43)</f>
        <v>28196230.029371448</v>
      </c>
      <c r="E44" s="57">
        <f t="shared" si="40"/>
        <v>36807369.424616493</v>
      </c>
      <c r="F44" s="57">
        <f t="shared" si="40"/>
        <v>45104796.106674127</v>
      </c>
      <c r="G44" s="57">
        <f t="shared" si="40"/>
        <v>52695535.813765474</v>
      </c>
      <c r="H44" s="57">
        <f t="shared" si="40"/>
        <v>60037343.333015092</v>
      </c>
      <c r="I44" s="57">
        <f t="shared" si="40"/>
        <v>67127691.257053494</v>
      </c>
      <c r="J44" s="57">
        <f t="shared" si="40"/>
        <v>73922569.510456264</v>
      </c>
      <c r="K44" s="70">
        <f t="shared" si="40"/>
        <v>80533060.988351077</v>
      </c>
      <c r="L44" s="55" t="s">
        <v>171</v>
      </c>
      <c r="M44" s="57">
        <f>SUM(K44+M43)</f>
        <v>86710916.386032388</v>
      </c>
      <c r="N44" s="57">
        <f t="shared" si="40"/>
        <v>92552128.193702117</v>
      </c>
      <c r="O44" s="57">
        <f t="shared" si="40"/>
        <v>98036903.829644546</v>
      </c>
      <c r="P44" s="57">
        <f t="shared" si="40"/>
        <v>103144637.88430762</v>
      </c>
      <c r="Q44" s="57">
        <f t="shared" si="40"/>
        <v>111106883.44690153</v>
      </c>
      <c r="R44" s="57">
        <f t="shared" si="40"/>
        <v>115359088.68409105</v>
      </c>
      <c r="S44" s="57">
        <f t="shared" si="40"/>
        <v>119162271.8374254</v>
      </c>
      <c r="T44" s="57">
        <f t="shared" si="40"/>
        <v>122505958.76535355</v>
      </c>
      <c r="U44" s="57">
        <f t="shared" si="40"/>
        <v>125365110.11610965</v>
      </c>
      <c r="V44" s="58">
        <f t="shared" si="40"/>
        <v>128642687.61628984</v>
      </c>
    </row>
    <row r="45" spans="1:24" s="59" customFormat="1" ht="16.149999999999999" customHeight="1" x14ac:dyDescent="0.25">
      <c r="A45" s="72"/>
      <c r="B45" s="56"/>
      <c r="C45" s="57" t="s">
        <v>0</v>
      </c>
      <c r="D45" s="57"/>
      <c r="E45" s="57"/>
      <c r="F45" s="57"/>
      <c r="G45" s="57"/>
      <c r="H45" s="57"/>
      <c r="I45" s="57"/>
      <c r="J45" s="57"/>
      <c r="K45" s="70" t="s">
        <v>0</v>
      </c>
      <c r="L45" s="72"/>
      <c r="M45" s="57"/>
      <c r="N45" s="57"/>
      <c r="O45" s="57"/>
      <c r="P45" s="57"/>
      <c r="Q45" s="57"/>
      <c r="R45" s="57"/>
      <c r="S45" s="57"/>
      <c r="T45" s="57"/>
      <c r="U45" s="57"/>
      <c r="V45" s="70"/>
    </row>
    <row r="46" spans="1:24" s="59" customFormat="1" ht="16.149999999999999" customHeight="1" x14ac:dyDescent="0.25">
      <c r="A46" s="72"/>
      <c r="B46" s="56"/>
      <c r="C46" s="57"/>
      <c r="D46" s="57"/>
      <c r="E46" s="57"/>
      <c r="F46" s="57"/>
      <c r="G46" s="57"/>
      <c r="H46" s="57"/>
      <c r="I46" s="57"/>
      <c r="J46" s="57"/>
      <c r="K46" s="70"/>
      <c r="L46" s="72"/>
      <c r="M46" s="57"/>
      <c r="N46" s="57"/>
      <c r="O46" s="57"/>
      <c r="P46" s="57"/>
      <c r="Q46" s="57"/>
      <c r="R46" s="57"/>
      <c r="S46" s="57"/>
      <c r="T46" s="57"/>
      <c r="U46" s="57"/>
      <c r="V46" s="70"/>
    </row>
    <row r="47" spans="1:24" s="59" customFormat="1" ht="16.149999999999999" customHeight="1" x14ac:dyDescent="0.25">
      <c r="A47" s="72"/>
      <c r="B47" s="56"/>
      <c r="C47" s="57"/>
      <c r="D47" s="57"/>
      <c r="E47" s="57"/>
      <c r="F47" s="57"/>
      <c r="G47" s="57"/>
      <c r="H47" s="57"/>
      <c r="I47" s="57"/>
      <c r="J47" s="57"/>
      <c r="K47" s="70"/>
      <c r="L47" s="72"/>
      <c r="M47" s="57"/>
      <c r="N47" s="57"/>
      <c r="O47" s="57"/>
      <c r="P47" s="57"/>
      <c r="Q47" s="57"/>
      <c r="R47" s="57"/>
      <c r="S47" s="57"/>
      <c r="T47" s="57"/>
      <c r="U47" s="57"/>
      <c r="V47" s="70"/>
    </row>
    <row r="48" spans="1:24" s="3" customFormat="1" ht="15" customHeight="1" x14ac:dyDescent="0.2">
      <c r="A48" s="2"/>
      <c r="B48" s="6"/>
      <c r="L48" s="2"/>
      <c r="W48" s="2"/>
      <c r="X48" s="2"/>
    </row>
    <row r="49" spans="1:24" ht="14.45" customHeight="1" x14ac:dyDescent="0.2">
      <c r="A49" s="140" t="s">
        <v>137</v>
      </c>
      <c r="B49" s="73"/>
      <c r="C49" s="74"/>
      <c r="D49" s="74"/>
      <c r="E49" s="74"/>
      <c r="F49" s="74"/>
      <c r="G49" s="74"/>
      <c r="H49" s="74"/>
      <c r="I49" s="74"/>
      <c r="J49" s="74"/>
      <c r="K49" s="75"/>
      <c r="L49" s="140" t="s">
        <v>137</v>
      </c>
      <c r="M49" s="74"/>
      <c r="N49" s="74"/>
      <c r="O49" s="74"/>
      <c r="P49" s="74"/>
      <c r="Q49" s="74"/>
      <c r="R49" s="74"/>
      <c r="S49" s="74"/>
      <c r="T49" s="74"/>
      <c r="U49" s="74"/>
      <c r="V49" s="75"/>
      <c r="W49" s="22"/>
      <c r="X49" s="22"/>
    </row>
    <row r="50" spans="1:24" s="3" customFormat="1" ht="12" customHeight="1" x14ac:dyDescent="0.25">
      <c r="A50" s="76" t="s">
        <v>121</v>
      </c>
      <c r="B50" s="77">
        <v>17800000</v>
      </c>
      <c r="C50" s="77">
        <f>SUM(B50*1.02)</f>
        <v>18156000</v>
      </c>
      <c r="D50" s="77">
        <f>SUM(C50*1.02)</f>
        <v>18519120</v>
      </c>
      <c r="E50" s="77">
        <f t="shared" ref="E50:V50" si="41">SUM(D50*1.02)</f>
        <v>18889502.399999999</v>
      </c>
      <c r="F50" s="77">
        <f t="shared" si="41"/>
        <v>19267292.447999999</v>
      </c>
      <c r="G50" s="77">
        <f t="shared" si="41"/>
        <v>19652638.29696</v>
      </c>
      <c r="H50" s="77">
        <f t="shared" si="41"/>
        <v>20045691.062899202</v>
      </c>
      <c r="I50" s="77">
        <f t="shared" si="41"/>
        <v>20446604.884157188</v>
      </c>
      <c r="J50" s="77">
        <f t="shared" si="41"/>
        <v>20855536.981840331</v>
      </c>
      <c r="K50" s="78">
        <f t="shared" si="41"/>
        <v>21272647.72147714</v>
      </c>
      <c r="L50" s="76" t="s">
        <v>121</v>
      </c>
      <c r="M50" s="54">
        <f>SUM(K50*1.02)</f>
        <v>21698100.675906684</v>
      </c>
      <c r="N50" s="54">
        <f t="shared" si="41"/>
        <v>22132062.689424817</v>
      </c>
      <c r="O50" s="54">
        <f t="shared" si="41"/>
        <v>22574703.943213314</v>
      </c>
      <c r="P50" s="54">
        <f t="shared" si="41"/>
        <v>23026198.022077579</v>
      </c>
      <c r="Q50" s="54">
        <f t="shared" si="41"/>
        <v>23486721.982519131</v>
      </c>
      <c r="R50" s="54">
        <f t="shared" si="41"/>
        <v>23956456.422169514</v>
      </c>
      <c r="S50" s="54">
        <f t="shared" si="41"/>
        <v>24435585.550612904</v>
      </c>
      <c r="T50" s="54">
        <f t="shared" si="41"/>
        <v>24924297.261625163</v>
      </c>
      <c r="U50" s="54">
        <f t="shared" si="41"/>
        <v>25422783.206857666</v>
      </c>
      <c r="V50" s="36">
        <f t="shared" si="41"/>
        <v>25931238.870994821</v>
      </c>
    </row>
    <row r="51" spans="1:24" s="3" customFormat="1" ht="12" customHeight="1" x14ac:dyDescent="0.2">
      <c r="A51" s="76" t="s">
        <v>122</v>
      </c>
      <c r="B51" s="79">
        <v>3.39</v>
      </c>
      <c r="C51" s="79">
        <f>SUM(B51)</f>
        <v>3.39</v>
      </c>
      <c r="D51" s="79">
        <f t="shared" ref="D51:F51" si="42">SUM(C51)</f>
        <v>3.39</v>
      </c>
      <c r="E51" s="79">
        <f t="shared" si="42"/>
        <v>3.39</v>
      </c>
      <c r="F51" s="79">
        <f t="shared" si="42"/>
        <v>3.39</v>
      </c>
      <c r="G51" s="79">
        <f>SUM(F51*1.15)</f>
        <v>3.8984999999999999</v>
      </c>
      <c r="H51" s="79">
        <f>SUM(G51)</f>
        <v>3.8984999999999999</v>
      </c>
      <c r="I51" s="79">
        <f t="shared" ref="I51:K51" si="43">SUM(H51)</f>
        <v>3.8984999999999999</v>
      </c>
      <c r="J51" s="79">
        <f t="shared" si="43"/>
        <v>3.8984999999999999</v>
      </c>
      <c r="K51" s="80">
        <f t="shared" si="43"/>
        <v>3.8984999999999999</v>
      </c>
      <c r="L51" s="76" t="s">
        <v>122</v>
      </c>
      <c r="M51" s="89">
        <f>SUM(K51)</f>
        <v>3.8984999999999999</v>
      </c>
      <c r="N51" s="89">
        <f>SUM(M51)</f>
        <v>3.8984999999999999</v>
      </c>
      <c r="O51" s="89">
        <f t="shared" ref="O51:Q51" si="44">SUM(N51)</f>
        <v>3.8984999999999999</v>
      </c>
      <c r="P51" s="89">
        <f t="shared" si="44"/>
        <v>3.8984999999999999</v>
      </c>
      <c r="Q51" s="89">
        <f t="shared" si="44"/>
        <v>3.8984999999999999</v>
      </c>
      <c r="R51" s="89">
        <f>SUM(Q51*1.15)</f>
        <v>4.4832749999999999</v>
      </c>
      <c r="S51" s="89">
        <f>SUM(R51)</f>
        <v>4.4832749999999999</v>
      </c>
      <c r="T51" s="89">
        <f t="shared" ref="T51:V51" si="45">SUM(S51)</f>
        <v>4.4832749999999999</v>
      </c>
      <c r="U51" s="89">
        <f t="shared" si="45"/>
        <v>4.4832749999999999</v>
      </c>
      <c r="V51" s="90">
        <f t="shared" si="45"/>
        <v>4.4832749999999999</v>
      </c>
      <c r="W51" s="23"/>
      <c r="X51" s="23"/>
    </row>
    <row r="52" spans="1:24" s="3" customFormat="1" ht="12" customHeight="1" x14ac:dyDescent="0.2">
      <c r="A52" s="76" t="s">
        <v>124</v>
      </c>
      <c r="B52" s="50">
        <v>0.73</v>
      </c>
      <c r="C52" s="50">
        <f>B52</f>
        <v>0.73</v>
      </c>
      <c r="D52" s="50">
        <f t="shared" ref="D52:K53" si="46">C52</f>
        <v>0.73</v>
      </c>
      <c r="E52" s="50">
        <f t="shared" si="46"/>
        <v>0.73</v>
      </c>
      <c r="F52" s="50">
        <f t="shared" si="46"/>
        <v>0.73</v>
      </c>
      <c r="G52" s="50">
        <f t="shared" si="46"/>
        <v>0.73</v>
      </c>
      <c r="H52" s="50">
        <f t="shared" si="46"/>
        <v>0.73</v>
      </c>
      <c r="I52" s="50">
        <f t="shared" si="46"/>
        <v>0.73</v>
      </c>
      <c r="J52" s="50">
        <f t="shared" si="46"/>
        <v>0.73</v>
      </c>
      <c r="K52" s="50">
        <f t="shared" si="46"/>
        <v>0.73</v>
      </c>
      <c r="L52" s="76" t="s">
        <v>124</v>
      </c>
      <c r="M52" s="50">
        <f>K52</f>
        <v>0.73</v>
      </c>
      <c r="N52" s="50">
        <f>M52</f>
        <v>0.73</v>
      </c>
      <c r="O52" s="50">
        <f t="shared" ref="O52:V53" si="47">N52</f>
        <v>0.73</v>
      </c>
      <c r="P52" s="50">
        <f t="shared" si="47"/>
        <v>0.73</v>
      </c>
      <c r="Q52" s="50">
        <f t="shared" si="47"/>
        <v>0.73</v>
      </c>
      <c r="R52" s="50">
        <f t="shared" si="47"/>
        <v>0.73</v>
      </c>
      <c r="S52" s="50">
        <f t="shared" si="47"/>
        <v>0.73</v>
      </c>
      <c r="T52" s="50">
        <f t="shared" si="47"/>
        <v>0.73</v>
      </c>
      <c r="U52" s="50">
        <f t="shared" si="47"/>
        <v>0.73</v>
      </c>
      <c r="V52" s="50">
        <f t="shared" si="47"/>
        <v>0.73</v>
      </c>
      <c r="W52" s="23"/>
      <c r="X52" s="23"/>
    </row>
    <row r="53" spans="1:24" s="3" customFormat="1" ht="12" customHeight="1" x14ac:dyDescent="0.2">
      <c r="A53" s="76" t="s">
        <v>123</v>
      </c>
      <c r="B53" s="50">
        <v>0.27</v>
      </c>
      <c r="C53" s="50">
        <f>B53</f>
        <v>0.27</v>
      </c>
      <c r="D53" s="50">
        <f t="shared" si="46"/>
        <v>0.27</v>
      </c>
      <c r="E53" s="50">
        <f t="shared" si="46"/>
        <v>0.27</v>
      </c>
      <c r="F53" s="50">
        <f t="shared" si="46"/>
        <v>0.27</v>
      </c>
      <c r="G53" s="50">
        <f t="shared" si="46"/>
        <v>0.27</v>
      </c>
      <c r="H53" s="50">
        <f t="shared" si="46"/>
        <v>0.27</v>
      </c>
      <c r="I53" s="50">
        <f t="shared" si="46"/>
        <v>0.27</v>
      </c>
      <c r="J53" s="50">
        <f t="shared" si="46"/>
        <v>0.27</v>
      </c>
      <c r="K53" s="50">
        <f t="shared" si="46"/>
        <v>0.27</v>
      </c>
      <c r="L53" s="76" t="s">
        <v>123</v>
      </c>
      <c r="M53" s="50">
        <f>K53</f>
        <v>0.27</v>
      </c>
      <c r="N53" s="50">
        <f>M53</f>
        <v>0.27</v>
      </c>
      <c r="O53" s="50">
        <f t="shared" si="47"/>
        <v>0.27</v>
      </c>
      <c r="P53" s="50">
        <f t="shared" si="47"/>
        <v>0.27</v>
      </c>
      <c r="Q53" s="50">
        <f t="shared" si="47"/>
        <v>0.27</v>
      </c>
      <c r="R53" s="50">
        <f t="shared" si="47"/>
        <v>0.27</v>
      </c>
      <c r="S53" s="50">
        <f t="shared" si="47"/>
        <v>0.27</v>
      </c>
      <c r="T53" s="50">
        <f t="shared" si="47"/>
        <v>0.27</v>
      </c>
      <c r="U53" s="50">
        <f t="shared" si="47"/>
        <v>0.27</v>
      </c>
      <c r="V53" s="50">
        <f t="shared" si="47"/>
        <v>0.27</v>
      </c>
      <c r="W53" s="23"/>
      <c r="X53" s="23"/>
    </row>
    <row r="54" spans="1:24" s="23" customFormat="1" ht="13.9" customHeight="1" x14ac:dyDescent="0.2">
      <c r="A54" s="81" t="s">
        <v>125</v>
      </c>
      <c r="B54" s="50">
        <v>0.76</v>
      </c>
      <c r="C54" s="51">
        <f>SUM(B54*1.03)</f>
        <v>0.78280000000000005</v>
      </c>
      <c r="D54" s="51">
        <f>SUM(C54*1.03)</f>
        <v>0.80628400000000011</v>
      </c>
      <c r="E54" s="51">
        <f>SUM(D54*1.02)</f>
        <v>0.82240968000000014</v>
      </c>
      <c r="F54" s="51">
        <f>SUM(E54*1.02)</f>
        <v>0.83885787360000019</v>
      </c>
      <c r="G54" s="51">
        <f>SUM(F54*1.02)</f>
        <v>0.85563503107200023</v>
      </c>
      <c r="H54" s="51">
        <f>SUM(G54*1.01)</f>
        <v>0.86419138138272023</v>
      </c>
      <c r="I54" s="51">
        <f t="shared" ref="I54:K54" si="48">SUM(H54*1.01)</f>
        <v>0.8728332951965474</v>
      </c>
      <c r="J54" s="51">
        <f t="shared" si="48"/>
        <v>0.88156162814851291</v>
      </c>
      <c r="K54" s="47">
        <f t="shared" si="48"/>
        <v>0.89037724442999799</v>
      </c>
      <c r="L54" s="81" t="s">
        <v>125</v>
      </c>
      <c r="M54" s="51">
        <f>SUM(K54*1.01)</f>
        <v>0.89928101687429796</v>
      </c>
      <c r="N54" s="51">
        <f>SUM(M54*1.01)</f>
        <v>0.90827382704304094</v>
      </c>
      <c r="O54" s="51">
        <f>SUM(N54*1.01)</f>
        <v>0.91735656531347132</v>
      </c>
      <c r="P54" s="51">
        <f t="shared" ref="P54:V54" si="49">SUM(O54*1.01)</f>
        <v>0.92653013096660608</v>
      </c>
      <c r="Q54" s="51">
        <f t="shared" si="49"/>
        <v>0.93579543227627215</v>
      </c>
      <c r="R54" s="51">
        <f t="shared" si="49"/>
        <v>0.94515338659903492</v>
      </c>
      <c r="S54" s="51">
        <f t="shared" si="49"/>
        <v>0.95460492046502532</v>
      </c>
      <c r="T54" s="51">
        <f t="shared" si="49"/>
        <v>0.96415096966967562</v>
      </c>
      <c r="U54" s="51">
        <f t="shared" si="49"/>
        <v>0.97379247936637237</v>
      </c>
      <c r="V54" s="47">
        <f t="shared" si="49"/>
        <v>0.98353040416003612</v>
      </c>
    </row>
    <row r="55" spans="1:24" s="23" customFormat="1" ht="13.9" customHeight="1" x14ac:dyDescent="0.2">
      <c r="A55" s="81" t="s">
        <v>126</v>
      </c>
      <c r="B55" s="50">
        <v>0.24</v>
      </c>
      <c r="C55" s="51">
        <f t="shared" ref="C55:K55" si="50">SUM(1-C54)</f>
        <v>0.21719999999999995</v>
      </c>
      <c r="D55" s="51">
        <f t="shared" si="50"/>
        <v>0.19371599999999989</v>
      </c>
      <c r="E55" s="51">
        <f t="shared" si="50"/>
        <v>0.17759031999999986</v>
      </c>
      <c r="F55" s="51">
        <f t="shared" si="50"/>
        <v>0.16114212639999981</v>
      </c>
      <c r="G55" s="51">
        <f t="shared" si="50"/>
        <v>0.14436496892799977</v>
      </c>
      <c r="H55" s="51">
        <f t="shared" si="50"/>
        <v>0.13580861861727977</v>
      </c>
      <c r="I55" s="51">
        <f t="shared" si="50"/>
        <v>0.1271667048034526</v>
      </c>
      <c r="J55" s="51">
        <f t="shared" si="50"/>
        <v>0.11843837185148709</v>
      </c>
      <c r="K55" s="47">
        <f t="shared" si="50"/>
        <v>0.10962275557000201</v>
      </c>
      <c r="L55" s="81" t="s">
        <v>126</v>
      </c>
      <c r="M55" s="51">
        <f t="shared" ref="M55:V55" si="51">SUM(1-M54)</f>
        <v>0.10071898312570204</v>
      </c>
      <c r="N55" s="51">
        <f t="shared" si="51"/>
        <v>9.1726172956959062E-2</v>
      </c>
      <c r="O55" s="51">
        <f t="shared" si="51"/>
        <v>8.2643434686528683E-2</v>
      </c>
      <c r="P55" s="51">
        <f t="shared" si="51"/>
        <v>7.346986903339392E-2</v>
      </c>
      <c r="Q55" s="51">
        <f t="shared" si="51"/>
        <v>6.4204567723727846E-2</v>
      </c>
      <c r="R55" s="51">
        <f t="shared" si="51"/>
        <v>5.4846613400965083E-2</v>
      </c>
      <c r="S55" s="51">
        <f t="shared" si="51"/>
        <v>4.5395079534974681E-2</v>
      </c>
      <c r="T55" s="51">
        <f t="shared" si="51"/>
        <v>3.5849030330324383E-2</v>
      </c>
      <c r="U55" s="51">
        <f t="shared" si="51"/>
        <v>2.6207520633627635E-2</v>
      </c>
      <c r="V55" s="47">
        <f t="shared" si="51"/>
        <v>1.646959583996388E-2</v>
      </c>
      <c r="W55" s="19"/>
      <c r="X55" s="19"/>
    </row>
    <row r="56" spans="1:24" s="23" customFormat="1" ht="13.9" customHeight="1" x14ac:dyDescent="0.2">
      <c r="A56" s="76" t="s">
        <v>127</v>
      </c>
      <c r="B56" s="50">
        <v>0.1</v>
      </c>
      <c r="C56" s="50">
        <f>SUM(B56)</f>
        <v>0.1</v>
      </c>
      <c r="D56" s="50">
        <f t="shared" ref="D56:K57" si="52">SUM(C56)</f>
        <v>0.1</v>
      </c>
      <c r="E56" s="50">
        <f t="shared" si="52"/>
        <v>0.1</v>
      </c>
      <c r="F56" s="50">
        <f t="shared" si="52"/>
        <v>0.1</v>
      </c>
      <c r="G56" s="50">
        <f t="shared" si="52"/>
        <v>0.1</v>
      </c>
      <c r="H56" s="50">
        <f t="shared" si="52"/>
        <v>0.1</v>
      </c>
      <c r="I56" s="50">
        <f t="shared" si="52"/>
        <v>0.1</v>
      </c>
      <c r="J56" s="50">
        <f t="shared" si="52"/>
        <v>0.1</v>
      </c>
      <c r="K56" s="49">
        <f t="shared" si="52"/>
        <v>0.1</v>
      </c>
      <c r="L56" s="76" t="s">
        <v>127</v>
      </c>
      <c r="M56" s="50">
        <f>SUM(K56)</f>
        <v>0.1</v>
      </c>
      <c r="N56" s="50">
        <f>SUM(M56)</f>
        <v>0.1</v>
      </c>
      <c r="O56" s="50">
        <f t="shared" ref="O56:V57" si="53">SUM(N56)</f>
        <v>0.1</v>
      </c>
      <c r="P56" s="50">
        <f t="shared" si="53"/>
        <v>0.1</v>
      </c>
      <c r="Q56" s="50">
        <f t="shared" si="53"/>
        <v>0.1</v>
      </c>
      <c r="R56" s="50">
        <f t="shared" si="53"/>
        <v>0.1</v>
      </c>
      <c r="S56" s="50">
        <f t="shared" si="53"/>
        <v>0.1</v>
      </c>
      <c r="T56" s="50">
        <f t="shared" si="53"/>
        <v>0.1</v>
      </c>
      <c r="U56" s="50">
        <f t="shared" si="53"/>
        <v>0.1</v>
      </c>
      <c r="V56" s="50">
        <f t="shared" si="53"/>
        <v>0.1</v>
      </c>
      <c r="W56" s="19"/>
      <c r="X56" s="19"/>
    </row>
    <row r="57" spans="1:24" s="23" customFormat="1" ht="13.9" customHeight="1" x14ac:dyDescent="0.2">
      <c r="A57" s="76" t="s">
        <v>128</v>
      </c>
      <c r="B57" s="50">
        <v>0.2</v>
      </c>
      <c r="C57" s="50">
        <f>SUM(B57)</f>
        <v>0.2</v>
      </c>
      <c r="D57" s="50">
        <f t="shared" si="52"/>
        <v>0.2</v>
      </c>
      <c r="E57" s="50">
        <f t="shared" si="52"/>
        <v>0.2</v>
      </c>
      <c r="F57" s="50">
        <f t="shared" si="52"/>
        <v>0.2</v>
      </c>
      <c r="G57" s="50">
        <f t="shared" si="52"/>
        <v>0.2</v>
      </c>
      <c r="H57" s="50">
        <f t="shared" si="52"/>
        <v>0.2</v>
      </c>
      <c r="I57" s="50">
        <f t="shared" si="52"/>
        <v>0.2</v>
      </c>
      <c r="J57" s="50">
        <f t="shared" si="52"/>
        <v>0.2</v>
      </c>
      <c r="K57" s="50">
        <f t="shared" si="52"/>
        <v>0.2</v>
      </c>
      <c r="L57" s="76" t="s">
        <v>128</v>
      </c>
      <c r="M57" s="50">
        <f>SUM(K57)</f>
        <v>0.2</v>
      </c>
      <c r="N57" s="50">
        <f>SUM(M57)</f>
        <v>0.2</v>
      </c>
      <c r="O57" s="50">
        <f t="shared" si="53"/>
        <v>0.2</v>
      </c>
      <c r="P57" s="50">
        <f t="shared" si="53"/>
        <v>0.2</v>
      </c>
      <c r="Q57" s="50">
        <f t="shared" si="53"/>
        <v>0.2</v>
      </c>
      <c r="R57" s="50">
        <f t="shared" si="53"/>
        <v>0.2</v>
      </c>
      <c r="S57" s="50">
        <f t="shared" si="53"/>
        <v>0.2</v>
      </c>
      <c r="T57" s="50">
        <f t="shared" si="53"/>
        <v>0.2</v>
      </c>
      <c r="U57" s="50">
        <f t="shared" si="53"/>
        <v>0.2</v>
      </c>
      <c r="V57" s="50">
        <f t="shared" si="53"/>
        <v>0.2</v>
      </c>
      <c r="W57" s="19"/>
      <c r="X57" s="19"/>
    </row>
    <row r="58" spans="1:24" s="23" customFormat="1" ht="13.9" customHeight="1" x14ac:dyDescent="0.2">
      <c r="A58" s="82" t="s">
        <v>170</v>
      </c>
      <c r="B58" s="83">
        <v>1</v>
      </c>
      <c r="C58" s="83">
        <f>B58</f>
        <v>1</v>
      </c>
      <c r="D58" s="83">
        <f>C58</f>
        <v>1</v>
      </c>
      <c r="E58" s="83">
        <f t="shared" ref="E58:J58" si="54">D58</f>
        <v>1</v>
      </c>
      <c r="F58" s="83">
        <f t="shared" si="54"/>
        <v>1</v>
      </c>
      <c r="G58" s="83">
        <f t="shared" si="54"/>
        <v>1</v>
      </c>
      <c r="H58" s="83">
        <f t="shared" si="54"/>
        <v>1</v>
      </c>
      <c r="I58" s="83">
        <f t="shared" si="54"/>
        <v>1</v>
      </c>
      <c r="J58" s="83">
        <f t="shared" si="54"/>
        <v>1</v>
      </c>
      <c r="K58" s="84">
        <v>1</v>
      </c>
      <c r="L58" s="82" t="s">
        <v>170</v>
      </c>
      <c r="M58" s="52">
        <f>K58</f>
        <v>1</v>
      </c>
      <c r="N58" s="52">
        <f>M58</f>
        <v>1</v>
      </c>
      <c r="O58" s="52">
        <f t="shared" ref="O58:V59" si="55">N58</f>
        <v>1</v>
      </c>
      <c r="P58" s="52">
        <f t="shared" si="55"/>
        <v>1</v>
      </c>
      <c r="Q58" s="52">
        <f t="shared" si="55"/>
        <v>1</v>
      </c>
      <c r="R58" s="52">
        <f t="shared" si="55"/>
        <v>1</v>
      </c>
      <c r="S58" s="52">
        <f t="shared" si="55"/>
        <v>1</v>
      </c>
      <c r="T58" s="52">
        <f t="shared" si="55"/>
        <v>1</v>
      </c>
      <c r="U58" s="52">
        <f t="shared" si="55"/>
        <v>1</v>
      </c>
      <c r="V58" s="52">
        <f t="shared" si="55"/>
        <v>1</v>
      </c>
      <c r="W58" s="19"/>
      <c r="X58" s="19"/>
    </row>
    <row r="59" spans="1:24" s="19" customFormat="1" ht="13.9" customHeight="1" x14ac:dyDescent="0.2">
      <c r="A59" s="82" t="s">
        <v>129</v>
      </c>
      <c r="B59" s="83">
        <v>3</v>
      </c>
      <c r="C59" s="83">
        <f>B59</f>
        <v>3</v>
      </c>
      <c r="D59" s="83">
        <f t="shared" ref="D59:K59" si="56">C59</f>
        <v>3</v>
      </c>
      <c r="E59" s="83">
        <f t="shared" si="56"/>
        <v>3</v>
      </c>
      <c r="F59" s="83">
        <f t="shared" si="56"/>
        <v>3</v>
      </c>
      <c r="G59" s="83">
        <f t="shared" si="56"/>
        <v>3</v>
      </c>
      <c r="H59" s="83">
        <f t="shared" si="56"/>
        <v>3</v>
      </c>
      <c r="I59" s="83">
        <f t="shared" si="56"/>
        <v>3</v>
      </c>
      <c r="J59" s="83">
        <f t="shared" si="56"/>
        <v>3</v>
      </c>
      <c r="K59" s="83">
        <f t="shared" si="56"/>
        <v>3</v>
      </c>
      <c r="L59" s="82" t="s">
        <v>129</v>
      </c>
      <c r="M59" s="91">
        <f>K59</f>
        <v>3</v>
      </c>
      <c r="N59" s="91">
        <f>M59</f>
        <v>3</v>
      </c>
      <c r="O59" s="91">
        <f t="shared" si="55"/>
        <v>3</v>
      </c>
      <c r="P59" s="91">
        <f t="shared" si="55"/>
        <v>3</v>
      </c>
      <c r="Q59" s="91">
        <f t="shared" si="55"/>
        <v>3</v>
      </c>
      <c r="R59" s="91">
        <f t="shared" si="55"/>
        <v>3</v>
      </c>
      <c r="S59" s="91">
        <f t="shared" si="55"/>
        <v>3</v>
      </c>
      <c r="T59" s="91">
        <f t="shared" si="55"/>
        <v>3</v>
      </c>
      <c r="U59" s="91">
        <f t="shared" si="55"/>
        <v>3</v>
      </c>
      <c r="V59" s="91">
        <f t="shared" si="55"/>
        <v>3</v>
      </c>
      <c r="W59" s="23"/>
      <c r="X59" s="23"/>
    </row>
    <row r="60" spans="1:24" s="19" customFormat="1" ht="13.9" customHeight="1" x14ac:dyDescent="0.2">
      <c r="A60" s="82" t="s">
        <v>166</v>
      </c>
      <c r="B60" s="83">
        <f>SUM((B58*2)+B59)</f>
        <v>5</v>
      </c>
      <c r="C60" s="83">
        <f t="shared" ref="C60:K60" si="57">SUM((C58*2)+C59)</f>
        <v>5</v>
      </c>
      <c r="D60" s="83">
        <f t="shared" si="57"/>
        <v>5</v>
      </c>
      <c r="E60" s="83">
        <f t="shared" si="57"/>
        <v>5</v>
      </c>
      <c r="F60" s="83">
        <f t="shared" si="57"/>
        <v>5</v>
      </c>
      <c r="G60" s="83">
        <f t="shared" si="57"/>
        <v>5</v>
      </c>
      <c r="H60" s="83">
        <f t="shared" si="57"/>
        <v>5</v>
      </c>
      <c r="I60" s="83">
        <f t="shared" si="57"/>
        <v>5</v>
      </c>
      <c r="J60" s="83">
        <f t="shared" si="57"/>
        <v>5</v>
      </c>
      <c r="K60" s="84">
        <f t="shared" si="57"/>
        <v>5</v>
      </c>
      <c r="L60" s="82" t="s">
        <v>166</v>
      </c>
      <c r="M60" s="83">
        <f>SUM((M58*2)+M59)</f>
        <v>5</v>
      </c>
      <c r="N60" s="83">
        <f t="shared" ref="N60:V60" si="58">SUM((N58*2)+N59)</f>
        <v>5</v>
      </c>
      <c r="O60" s="83">
        <f t="shared" si="58"/>
        <v>5</v>
      </c>
      <c r="P60" s="83">
        <f t="shared" si="58"/>
        <v>5</v>
      </c>
      <c r="Q60" s="83">
        <f t="shared" si="58"/>
        <v>5</v>
      </c>
      <c r="R60" s="83">
        <f t="shared" si="58"/>
        <v>5</v>
      </c>
      <c r="S60" s="83">
        <f t="shared" si="58"/>
        <v>5</v>
      </c>
      <c r="T60" s="83">
        <f t="shared" si="58"/>
        <v>5</v>
      </c>
      <c r="U60" s="83">
        <f t="shared" si="58"/>
        <v>5</v>
      </c>
      <c r="V60" s="83">
        <f t="shared" si="58"/>
        <v>5</v>
      </c>
      <c r="W60" s="23"/>
      <c r="X60" s="23"/>
    </row>
    <row r="61" spans="1:24" s="23" customFormat="1" ht="13.9" customHeight="1" x14ac:dyDescent="0.2">
      <c r="A61" s="81" t="s">
        <v>130</v>
      </c>
      <c r="B61" s="50">
        <v>-1</v>
      </c>
      <c r="C61" s="51">
        <f>SUM(B61-B61*0.1)</f>
        <v>-0.9</v>
      </c>
      <c r="D61" s="51">
        <f>SUM(C61-C61*0.1)</f>
        <v>-0.81</v>
      </c>
      <c r="E61" s="51">
        <f>SUM(D61-D61*0.05)</f>
        <v>-0.76950000000000007</v>
      </c>
      <c r="F61" s="51">
        <f>SUM(E61-E61*0.05)</f>
        <v>-0.73102500000000004</v>
      </c>
      <c r="G61" s="51">
        <f>SUM(F61-F61*0.05)</f>
        <v>-0.69447375</v>
      </c>
      <c r="H61" s="51">
        <f>SUM(G61-G61*0.02)</f>
        <v>-0.68058427499999996</v>
      </c>
      <c r="I61" s="51">
        <f>SUM(H61-H61*0.02)</f>
        <v>-0.66697258949999993</v>
      </c>
      <c r="J61" s="51">
        <f>SUM(I61-I61*0.02)</f>
        <v>-0.65363313770999998</v>
      </c>
      <c r="K61" s="47">
        <f>SUM(J61-J61*0.02)</f>
        <v>-0.64056047495579993</v>
      </c>
      <c r="L61" s="81" t="s">
        <v>130</v>
      </c>
      <c r="M61" s="51">
        <f>SUM(K61-K61*0.02)</f>
        <v>-0.62774926545668397</v>
      </c>
      <c r="N61" s="51">
        <f>SUM(M61-M61*0.02)</f>
        <v>-0.61519428014755029</v>
      </c>
      <c r="O61" s="51">
        <f t="shared" ref="O61:V61" si="59">SUM(N61-N61*0.02)</f>
        <v>-0.60289039454459925</v>
      </c>
      <c r="P61" s="51">
        <f t="shared" si="59"/>
        <v>-0.5908325866537073</v>
      </c>
      <c r="Q61" s="51">
        <f t="shared" si="59"/>
        <v>-0.57901593492063319</v>
      </c>
      <c r="R61" s="51">
        <f t="shared" si="59"/>
        <v>-0.5674356162222205</v>
      </c>
      <c r="S61" s="51">
        <f t="shared" si="59"/>
        <v>-0.55608690389777604</v>
      </c>
      <c r="T61" s="51">
        <f t="shared" si="59"/>
        <v>-0.54496516581982057</v>
      </c>
      <c r="U61" s="51">
        <f t="shared" si="59"/>
        <v>-0.53406586250342414</v>
      </c>
      <c r="V61" s="47">
        <f t="shared" si="59"/>
        <v>-0.52338454525335565</v>
      </c>
    </row>
    <row r="62" spans="1:24" s="23" customFormat="1" ht="13.9" customHeight="1" x14ac:dyDescent="0.2">
      <c r="A62" s="85" t="s">
        <v>131</v>
      </c>
      <c r="B62" s="86">
        <v>0</v>
      </c>
      <c r="C62" s="87">
        <v>0.02</v>
      </c>
      <c r="D62" s="87">
        <v>0.02</v>
      </c>
      <c r="E62" s="87">
        <v>0.02</v>
      </c>
      <c r="F62" s="87">
        <v>0.02</v>
      </c>
      <c r="G62" s="87">
        <v>0.02</v>
      </c>
      <c r="H62" s="87">
        <v>0.02</v>
      </c>
      <c r="I62" s="87">
        <v>0.02</v>
      </c>
      <c r="J62" s="87">
        <v>0.02</v>
      </c>
      <c r="K62" s="88">
        <v>0.02</v>
      </c>
      <c r="L62" s="85" t="s">
        <v>131</v>
      </c>
      <c r="M62" s="87">
        <v>0.02</v>
      </c>
      <c r="N62" s="87">
        <v>0.02</v>
      </c>
      <c r="O62" s="87">
        <v>0.02</v>
      </c>
      <c r="P62" s="87">
        <v>0.02</v>
      </c>
      <c r="Q62" s="87">
        <v>0.02</v>
      </c>
      <c r="R62" s="87">
        <v>0.02</v>
      </c>
      <c r="S62" s="87">
        <v>0.02</v>
      </c>
      <c r="T62" s="87">
        <v>0.02</v>
      </c>
      <c r="U62" s="87">
        <v>0.02</v>
      </c>
      <c r="V62" s="88">
        <v>0.02</v>
      </c>
      <c r="W62" s="2"/>
      <c r="X62" s="2"/>
    </row>
    <row r="63" spans="1:24" ht="13.9" customHeight="1" x14ac:dyDescent="0.2">
      <c r="A63" s="2" t="s">
        <v>0</v>
      </c>
      <c r="L63" s="2" t="s">
        <v>0</v>
      </c>
    </row>
    <row r="64" spans="1:24" ht="13.9" customHeight="1" x14ac:dyDescent="0.2">
      <c r="A64" s="103" t="s">
        <v>57</v>
      </c>
      <c r="B64" s="71" t="s">
        <v>155</v>
      </c>
      <c r="G64" s="71" t="s">
        <v>156</v>
      </c>
    </row>
    <row r="65" spans="2:17" ht="13.9" customHeight="1" x14ac:dyDescent="0.2">
      <c r="B65" s="2"/>
      <c r="C65" s="6">
        <f>SUM(B50)</f>
        <v>17800000</v>
      </c>
      <c r="D65" s="98" t="s">
        <v>45</v>
      </c>
      <c r="H65" s="6">
        <f>SUM(B50)</f>
        <v>17800000</v>
      </c>
      <c r="I65" s="98" t="s">
        <v>45</v>
      </c>
    </row>
    <row r="66" spans="2:17" ht="13.9" customHeight="1" x14ac:dyDescent="0.2">
      <c r="B66" s="23" t="s">
        <v>46</v>
      </c>
      <c r="C66" s="101">
        <f>SUM(B51)</f>
        <v>3.39</v>
      </c>
      <c r="D66" s="2" t="s">
        <v>50</v>
      </c>
      <c r="G66" s="23" t="s">
        <v>46</v>
      </c>
      <c r="H66" s="101">
        <f>SUM(B51)</f>
        <v>3.39</v>
      </c>
      <c r="I66" s="2" t="s">
        <v>50</v>
      </c>
    </row>
    <row r="67" spans="2:17" ht="13.9" customHeight="1" x14ac:dyDescent="0.2">
      <c r="B67" s="23" t="s">
        <v>46</v>
      </c>
      <c r="C67" s="100">
        <f>SUM(B52)</f>
        <v>0.73</v>
      </c>
      <c r="D67" s="2" t="s">
        <v>59</v>
      </c>
      <c r="G67" s="23" t="s">
        <v>46</v>
      </c>
      <c r="H67" s="100">
        <f>SUM(B53)</f>
        <v>0.27</v>
      </c>
      <c r="I67" s="2" t="s">
        <v>51</v>
      </c>
    </row>
    <row r="68" spans="2:17" ht="13.9" customHeight="1" x14ac:dyDescent="0.2">
      <c r="B68" s="23" t="s">
        <v>46</v>
      </c>
      <c r="C68" s="100">
        <f>SUM(B55)</f>
        <v>0.24</v>
      </c>
      <c r="D68" s="2" t="s">
        <v>60</v>
      </c>
      <c r="G68" s="23" t="s">
        <v>46</v>
      </c>
      <c r="H68" s="100">
        <f>SUM(B55)</f>
        <v>0.24</v>
      </c>
      <c r="I68" s="2" t="s">
        <v>48</v>
      </c>
      <c r="Q68" s="2" t="s">
        <v>0</v>
      </c>
    </row>
    <row r="69" spans="2:17" ht="13.9" customHeight="1" x14ac:dyDescent="0.2">
      <c r="B69" s="23" t="s">
        <v>46</v>
      </c>
      <c r="C69" s="100">
        <f>SUM(B56)</f>
        <v>0.1</v>
      </c>
      <c r="D69" s="2" t="s">
        <v>61</v>
      </c>
      <c r="G69" s="23" t="s">
        <v>46</v>
      </c>
      <c r="H69" s="100">
        <f>SUM(B57)</f>
        <v>0.2</v>
      </c>
      <c r="I69" s="2" t="s">
        <v>52</v>
      </c>
    </row>
    <row r="70" spans="2:17" ht="13.9" customHeight="1" x14ac:dyDescent="0.2">
      <c r="B70" s="23" t="s">
        <v>46</v>
      </c>
      <c r="C70" s="100">
        <f>SUM(B61)</f>
        <v>-1</v>
      </c>
      <c r="D70" s="2" t="s">
        <v>62</v>
      </c>
      <c r="G70" s="23" t="s">
        <v>46</v>
      </c>
      <c r="H70" s="100">
        <f>SUM(B61)</f>
        <v>-1</v>
      </c>
      <c r="I70" s="2" t="s">
        <v>62</v>
      </c>
    </row>
    <row r="71" spans="2:17" s="3" customFormat="1" ht="19.899999999999999" customHeight="1" x14ac:dyDescent="0.25">
      <c r="B71" s="102" t="s">
        <v>47</v>
      </c>
      <c r="C71" s="105">
        <f>SUM(C65*C67*C68*C69*C70*C66)</f>
        <v>-1057191.8400000001</v>
      </c>
      <c r="D71" s="44" t="s">
        <v>54</v>
      </c>
      <c r="E71" s="104"/>
      <c r="F71" s="104"/>
      <c r="G71" s="102" t="s">
        <v>47</v>
      </c>
      <c r="H71" s="105">
        <f>SUM(H65*H67*H68*H69*H70*H66)</f>
        <v>-782032.32000000007</v>
      </c>
      <c r="I71" s="44" t="s">
        <v>53</v>
      </c>
      <c r="J71" s="104"/>
      <c r="K71" s="104"/>
    </row>
    <row r="72" spans="2:17" ht="13.9" customHeight="1" x14ac:dyDescent="0.2">
      <c r="B72" s="98"/>
    </row>
    <row r="73" spans="2:17" ht="13.9" customHeight="1" x14ac:dyDescent="0.2">
      <c r="B73" s="71" t="s">
        <v>167</v>
      </c>
      <c r="G73" s="71" t="s">
        <v>168</v>
      </c>
      <c r="L73" s="2" t="s">
        <v>0</v>
      </c>
    </row>
    <row r="74" spans="2:17" ht="13.9" customHeight="1" x14ac:dyDescent="0.2">
      <c r="B74" s="2"/>
      <c r="C74" s="6">
        <f>SUM(B50)</f>
        <v>17800000</v>
      </c>
      <c r="D74" s="98" t="s">
        <v>45</v>
      </c>
      <c r="H74" s="6">
        <f>SUM(B50)</f>
        <v>17800000</v>
      </c>
      <c r="I74" s="98" t="s">
        <v>45</v>
      </c>
    </row>
    <row r="75" spans="2:17" ht="13.9" customHeight="1" x14ac:dyDescent="0.2">
      <c r="B75" s="23" t="s">
        <v>55</v>
      </c>
      <c r="C75" s="6">
        <v>2</v>
      </c>
      <c r="D75" s="98" t="s">
        <v>56</v>
      </c>
      <c r="G75" s="23" t="s">
        <v>55</v>
      </c>
      <c r="H75" s="6">
        <v>2</v>
      </c>
      <c r="I75" s="98" t="s">
        <v>56</v>
      </c>
    </row>
    <row r="76" spans="2:17" ht="13.9" customHeight="1" x14ac:dyDescent="0.2">
      <c r="B76" s="23" t="s">
        <v>46</v>
      </c>
      <c r="C76" s="101">
        <f>SUM(B60)</f>
        <v>5</v>
      </c>
      <c r="D76" s="2" t="s">
        <v>165</v>
      </c>
      <c r="G76" s="23" t="s">
        <v>46</v>
      </c>
      <c r="H76" s="101">
        <f>SUM(B60)</f>
        <v>5</v>
      </c>
      <c r="I76" s="2" t="s">
        <v>165</v>
      </c>
    </row>
    <row r="77" spans="2:17" ht="13.9" customHeight="1" x14ac:dyDescent="0.2">
      <c r="B77" s="23" t="s">
        <v>46</v>
      </c>
      <c r="C77" s="100">
        <f>SUM(B52)</f>
        <v>0.73</v>
      </c>
      <c r="D77" s="2" t="s">
        <v>59</v>
      </c>
      <c r="G77" s="23" t="s">
        <v>46</v>
      </c>
      <c r="H77" s="100">
        <f>SUM(G53)</f>
        <v>0.27</v>
      </c>
      <c r="I77" s="2" t="s">
        <v>63</v>
      </c>
    </row>
    <row r="78" spans="2:17" ht="13.9" customHeight="1" x14ac:dyDescent="0.2">
      <c r="B78" s="23" t="s">
        <v>46</v>
      </c>
      <c r="C78" s="100">
        <f>SUM(B55)</f>
        <v>0.24</v>
      </c>
      <c r="D78" s="2" t="s">
        <v>60</v>
      </c>
      <c r="G78" s="23" t="s">
        <v>46</v>
      </c>
      <c r="H78" s="100">
        <f>SUM(B55)</f>
        <v>0.24</v>
      </c>
      <c r="I78" s="2" t="s">
        <v>60</v>
      </c>
    </row>
    <row r="79" spans="2:17" ht="13.9" customHeight="1" x14ac:dyDescent="0.2">
      <c r="B79" s="23" t="s">
        <v>46</v>
      </c>
      <c r="C79" s="100">
        <f>SUM(B56)</f>
        <v>0.1</v>
      </c>
      <c r="D79" s="2" t="s">
        <v>61</v>
      </c>
      <c r="G79" s="23" t="s">
        <v>46</v>
      </c>
      <c r="H79" s="100">
        <f>SUM(G57)</f>
        <v>0.2</v>
      </c>
      <c r="I79" s="2" t="s">
        <v>61</v>
      </c>
    </row>
    <row r="80" spans="2:17" ht="13.9" customHeight="1" x14ac:dyDescent="0.2">
      <c r="B80" s="23" t="s">
        <v>46</v>
      </c>
      <c r="C80" s="100">
        <f>SUM(B61)</f>
        <v>-1</v>
      </c>
      <c r="D80" s="2" t="s">
        <v>49</v>
      </c>
      <c r="G80" s="23" t="s">
        <v>46</v>
      </c>
      <c r="H80" s="100">
        <f>SUM(B61)</f>
        <v>-1</v>
      </c>
      <c r="I80" s="2" t="s">
        <v>49</v>
      </c>
    </row>
    <row r="81" spans="1:24" ht="19.149999999999999" customHeight="1" x14ac:dyDescent="0.2">
      <c r="B81" s="102" t="s">
        <v>47</v>
      </c>
      <c r="C81" s="105">
        <f>SUM((B50/2)*B60*B52*B55*B56*B61)</f>
        <v>-779640</v>
      </c>
      <c r="D81" s="44" t="s">
        <v>54</v>
      </c>
      <c r="E81" s="74"/>
      <c r="F81" s="74"/>
      <c r="G81" s="102" t="s">
        <v>47</v>
      </c>
      <c r="H81" s="105">
        <f>SUM((B50/2)*B60*B53*B55*B57*B61)</f>
        <v>-576720</v>
      </c>
      <c r="I81" s="44" t="s">
        <v>54</v>
      </c>
      <c r="J81" s="74"/>
      <c r="K81" s="74"/>
    </row>
    <row r="82" spans="1:24" ht="13.9" customHeight="1" x14ac:dyDescent="0.2">
      <c r="H82" s="99"/>
    </row>
    <row r="83" spans="1:24" s="8" customFormat="1" ht="13.9" customHeight="1" x14ac:dyDescent="0.2">
      <c r="A83" s="92" t="s">
        <v>58</v>
      </c>
      <c r="B83" s="13" t="s">
        <v>9</v>
      </c>
      <c r="C83" s="9" t="s">
        <v>10</v>
      </c>
      <c r="D83" s="9" t="s">
        <v>11</v>
      </c>
      <c r="E83" s="9" t="s">
        <v>12</v>
      </c>
      <c r="F83" s="9" t="s">
        <v>13</v>
      </c>
      <c r="G83" s="9" t="s">
        <v>16</v>
      </c>
      <c r="H83" s="9" t="s">
        <v>17</v>
      </c>
      <c r="I83" s="9" t="s">
        <v>18</v>
      </c>
      <c r="J83" s="9" t="s">
        <v>19</v>
      </c>
      <c r="K83" s="9" t="s">
        <v>20</v>
      </c>
      <c r="L83" s="92" t="s">
        <v>58</v>
      </c>
      <c r="M83" s="13" t="s">
        <v>28</v>
      </c>
      <c r="N83" s="9" t="s">
        <v>29</v>
      </c>
      <c r="O83" s="9" t="s">
        <v>30</v>
      </c>
      <c r="P83" s="9" t="s">
        <v>31</v>
      </c>
      <c r="Q83" s="9" t="s">
        <v>32</v>
      </c>
      <c r="R83" s="9" t="s">
        <v>33</v>
      </c>
      <c r="S83" s="9" t="s">
        <v>34</v>
      </c>
      <c r="T83" s="9" t="s">
        <v>35</v>
      </c>
      <c r="U83" s="9" t="s">
        <v>36</v>
      </c>
      <c r="V83" s="9" t="s">
        <v>37</v>
      </c>
      <c r="W83" s="33"/>
      <c r="X83" s="33"/>
    </row>
    <row r="84" spans="1:24" s="33" customFormat="1" ht="13.9" customHeight="1" x14ac:dyDescent="0.2">
      <c r="A84" s="93" t="s">
        <v>109</v>
      </c>
      <c r="B84" s="31"/>
      <c r="C84" s="53"/>
      <c r="D84" s="53"/>
      <c r="E84" s="53"/>
      <c r="F84" s="53">
        <v>-115000</v>
      </c>
      <c r="G84" s="53"/>
      <c r="H84" s="53"/>
      <c r="I84" s="53"/>
      <c r="J84" s="53"/>
      <c r="K84" s="48">
        <v>-115000</v>
      </c>
      <c r="L84" s="93" t="s">
        <v>109</v>
      </c>
      <c r="M84" s="53"/>
      <c r="N84" s="53"/>
      <c r="O84" s="53"/>
      <c r="P84" s="53"/>
      <c r="Q84" s="53">
        <v>-115000</v>
      </c>
      <c r="R84" s="53"/>
      <c r="S84" s="53"/>
      <c r="T84" s="53"/>
      <c r="U84" s="53"/>
      <c r="V84" s="48">
        <v>-115000</v>
      </c>
      <c r="X84" s="4">
        <f t="shared" ref="X84:X88" si="60">SUM(B84:V84)</f>
        <v>-460000</v>
      </c>
    </row>
    <row r="85" spans="1:24" s="33" customFormat="1" ht="13.9" customHeight="1" x14ac:dyDescent="0.2">
      <c r="A85" s="93" t="s">
        <v>110</v>
      </c>
      <c r="B85" s="11"/>
      <c r="C85" s="54"/>
      <c r="D85" s="54"/>
      <c r="E85" s="54"/>
      <c r="F85" s="54"/>
      <c r="G85" s="54"/>
      <c r="H85" s="54"/>
      <c r="I85" s="54">
        <v>-13600</v>
      </c>
      <c r="J85" s="54"/>
      <c r="K85" s="36"/>
      <c r="L85" s="93" t="s">
        <v>110</v>
      </c>
      <c r="M85" s="54"/>
      <c r="N85" s="54"/>
      <c r="O85" s="54"/>
      <c r="P85" s="54"/>
      <c r="Q85" s="54"/>
      <c r="R85" s="54">
        <v>-13600</v>
      </c>
      <c r="S85" s="54"/>
      <c r="T85" s="54"/>
      <c r="U85" s="54"/>
      <c r="V85" s="36"/>
      <c r="X85" s="4">
        <f t="shared" si="60"/>
        <v>-27200</v>
      </c>
    </row>
    <row r="86" spans="1:24" s="33" customFormat="1" ht="13.9" customHeight="1" x14ac:dyDescent="0.2">
      <c r="A86" s="93" t="s">
        <v>111</v>
      </c>
      <c r="B86" s="31"/>
      <c r="C86" s="53"/>
      <c r="D86" s="53"/>
      <c r="E86" s="53"/>
      <c r="F86" s="53"/>
      <c r="G86" s="53"/>
      <c r="H86" s="53"/>
      <c r="I86" s="53"/>
      <c r="J86" s="53"/>
      <c r="K86" s="48"/>
      <c r="L86" s="93" t="s">
        <v>111</v>
      </c>
      <c r="M86" s="53"/>
      <c r="N86" s="53"/>
      <c r="O86" s="53"/>
      <c r="P86" s="53"/>
      <c r="Q86" s="53">
        <v>-58000</v>
      </c>
      <c r="R86" s="53"/>
      <c r="S86" s="53"/>
      <c r="T86" s="53"/>
      <c r="U86" s="53"/>
      <c r="V86" s="48"/>
      <c r="X86" s="4">
        <f t="shared" si="60"/>
        <v>-58000</v>
      </c>
    </row>
    <row r="87" spans="1:24" s="33" customFormat="1" ht="13.9" customHeight="1" x14ac:dyDescent="0.2">
      <c r="A87" s="93" t="s">
        <v>112</v>
      </c>
      <c r="B87" s="31"/>
      <c r="C87" s="53"/>
      <c r="D87" s="53"/>
      <c r="E87" s="53"/>
      <c r="F87" s="53"/>
      <c r="G87" s="53"/>
      <c r="H87" s="53"/>
      <c r="I87" s="53"/>
      <c r="J87" s="53"/>
      <c r="K87" s="48"/>
      <c r="L87" s="93" t="s">
        <v>112</v>
      </c>
      <c r="M87" s="53"/>
      <c r="N87" s="53"/>
      <c r="O87" s="53"/>
      <c r="P87" s="53"/>
      <c r="Q87" s="53">
        <v>-3080000</v>
      </c>
      <c r="R87" s="53"/>
      <c r="S87" s="53"/>
      <c r="T87" s="53"/>
      <c r="U87" s="53"/>
      <c r="V87" s="48"/>
      <c r="X87" s="4">
        <f t="shared" si="60"/>
        <v>-3080000</v>
      </c>
    </row>
    <row r="88" spans="1:24" s="33" customFormat="1" ht="13.9" customHeight="1" x14ac:dyDescent="0.2">
      <c r="A88" s="93" t="s">
        <v>2</v>
      </c>
      <c r="B88" s="31"/>
      <c r="C88" s="53"/>
      <c r="D88" s="53"/>
      <c r="E88" s="53"/>
      <c r="F88" s="53"/>
      <c r="G88" s="53"/>
      <c r="H88" s="53"/>
      <c r="I88" s="53"/>
      <c r="J88" s="53"/>
      <c r="K88" s="48"/>
      <c r="L88" s="93" t="s">
        <v>2</v>
      </c>
      <c r="M88" s="53"/>
      <c r="N88" s="53"/>
      <c r="O88" s="53"/>
      <c r="P88" s="53"/>
      <c r="Q88" s="53"/>
      <c r="R88" s="53"/>
      <c r="S88" s="53"/>
      <c r="T88" s="53"/>
      <c r="U88" s="53"/>
      <c r="V88" s="48">
        <v>-814000</v>
      </c>
      <c r="X88" s="4">
        <f t="shared" si="60"/>
        <v>-814000</v>
      </c>
    </row>
    <row r="89" spans="1:24" s="4" customFormat="1" ht="17.45" customHeight="1" x14ac:dyDescent="0.25">
      <c r="A89" s="94" t="s">
        <v>43</v>
      </c>
      <c r="B89" s="95">
        <f>SUM(B84:B88)</f>
        <v>0</v>
      </c>
      <c r="C89" s="95">
        <f t="shared" ref="C89:V89" si="61">SUM(C84:C88)</f>
        <v>0</v>
      </c>
      <c r="D89" s="95">
        <f t="shared" si="61"/>
        <v>0</v>
      </c>
      <c r="E89" s="95">
        <f t="shared" si="61"/>
        <v>0</v>
      </c>
      <c r="F89" s="95">
        <f t="shared" si="61"/>
        <v>-115000</v>
      </c>
      <c r="G89" s="95">
        <f t="shared" si="61"/>
        <v>0</v>
      </c>
      <c r="H89" s="95">
        <f t="shared" si="61"/>
        <v>0</v>
      </c>
      <c r="I89" s="95">
        <f t="shared" si="61"/>
        <v>-13600</v>
      </c>
      <c r="J89" s="95">
        <f t="shared" si="61"/>
        <v>0</v>
      </c>
      <c r="K89" s="96">
        <f t="shared" si="61"/>
        <v>-115000</v>
      </c>
      <c r="L89" s="97" t="s">
        <v>43</v>
      </c>
      <c r="M89" s="95">
        <f t="shared" si="61"/>
        <v>0</v>
      </c>
      <c r="N89" s="95">
        <f t="shared" si="61"/>
        <v>0</v>
      </c>
      <c r="O89" s="95">
        <f t="shared" si="61"/>
        <v>0</v>
      </c>
      <c r="P89" s="95">
        <f t="shared" si="61"/>
        <v>0</v>
      </c>
      <c r="Q89" s="95">
        <f t="shared" si="61"/>
        <v>-3253000</v>
      </c>
      <c r="R89" s="95">
        <f t="shared" si="61"/>
        <v>-13600</v>
      </c>
      <c r="S89" s="95">
        <f t="shared" si="61"/>
        <v>0</v>
      </c>
      <c r="T89" s="95">
        <f t="shared" si="61"/>
        <v>0</v>
      </c>
      <c r="U89" s="95">
        <f t="shared" si="61"/>
        <v>0</v>
      </c>
      <c r="V89" s="96">
        <f t="shared" si="61"/>
        <v>-929000</v>
      </c>
      <c r="W89" s="3"/>
      <c r="X89" s="4">
        <f>SUM(B89:V89)</f>
        <v>-4439200</v>
      </c>
    </row>
    <row r="94" spans="1:24" ht="13.9" customHeight="1" x14ac:dyDescent="0.2">
      <c r="E94" s="2" t="s">
        <v>0</v>
      </c>
    </row>
  </sheetData>
  <mergeCells count="10">
    <mergeCell ref="A39:K39"/>
    <mergeCell ref="L39:V39"/>
    <mergeCell ref="A40:K40"/>
    <mergeCell ref="L40:V40"/>
    <mergeCell ref="A1:K1"/>
    <mergeCell ref="L1:V1"/>
    <mergeCell ref="A19:K19"/>
    <mergeCell ref="L19:V19"/>
    <mergeCell ref="A20:K20"/>
    <mergeCell ref="L20:V20"/>
  </mergeCells>
  <printOptions gridLines="1"/>
  <pageMargins left="0.46" right="0.32" top="0.72" bottom="0.48" header="0.39" footer="0.3"/>
  <pageSetup scale="81" fitToWidth="2" fitToHeight="2" pageOrder="overThenDown" orientation="landscape" r:id="rId1"/>
  <headerFooter>
    <oddHeader>&amp;C&amp;"-,Bold Italic"&amp;14Comparative Analysis ~ AET versus ORT -with 10/20% Leakage</oddHeader>
    <oddFooter>&amp;L&amp;D&amp;CPage &amp;P of &amp;N&amp;RAuthor: P. R. Smith</oddFooter>
  </headerFooter>
  <rowBreaks count="1" manualBreakCount="1">
    <brk id="47" max="16383" man="1"/>
  </rowBreaks>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4"/>
  <sheetViews>
    <sheetView topLeftCell="A64" zoomScaleNormal="100" workbookViewId="0">
      <selection activeCell="L30" sqref="L30:L31"/>
    </sheetView>
  </sheetViews>
  <sheetFormatPr defaultColWidth="8.85546875" defaultRowHeight="13.9" customHeight="1" x14ac:dyDescent="0.2"/>
  <cols>
    <col min="1" max="1" width="40.7109375" style="2" customWidth="1"/>
    <col min="2" max="2" width="11.7109375" style="182" customWidth="1"/>
    <col min="3" max="11" width="11.7109375" style="2" customWidth="1"/>
    <col min="12" max="12" width="40.5703125" style="2" customWidth="1"/>
    <col min="13" max="22" width="11.7109375" style="2" customWidth="1"/>
    <col min="23" max="23" width="1.85546875" style="2" customWidth="1"/>
    <col min="24" max="24" width="12.42578125" style="2" customWidth="1"/>
    <col min="25" max="16384" width="8.85546875" style="2"/>
  </cols>
  <sheetData>
    <row r="1" spans="1:24" s="1" customFormat="1" ht="15" customHeight="1" x14ac:dyDescent="0.2">
      <c r="A1" s="186" t="s">
        <v>5</v>
      </c>
      <c r="B1" s="187"/>
      <c r="C1" s="187"/>
      <c r="D1" s="187"/>
      <c r="E1" s="187"/>
      <c r="F1" s="187"/>
      <c r="G1" s="187"/>
      <c r="H1" s="187"/>
      <c r="I1" s="187"/>
      <c r="J1" s="187"/>
      <c r="K1" s="187"/>
      <c r="L1" s="187" t="s">
        <v>5</v>
      </c>
      <c r="M1" s="187"/>
      <c r="N1" s="187"/>
      <c r="O1" s="187"/>
      <c r="P1" s="187"/>
      <c r="Q1" s="187"/>
      <c r="R1" s="187"/>
      <c r="S1" s="187"/>
      <c r="T1" s="187"/>
      <c r="U1" s="187"/>
      <c r="V1" s="188"/>
    </row>
    <row r="2" spans="1:24" s="8" customFormat="1" ht="13.9" customHeight="1" x14ac:dyDescent="0.2">
      <c r="A2" s="14"/>
      <c r="B2" s="13" t="s">
        <v>9</v>
      </c>
      <c r="C2" s="9" t="s">
        <v>10</v>
      </c>
      <c r="D2" s="9" t="s">
        <v>11</v>
      </c>
      <c r="E2" s="9" t="s">
        <v>12</v>
      </c>
      <c r="F2" s="9" t="s">
        <v>13</v>
      </c>
      <c r="G2" s="9" t="s">
        <v>16</v>
      </c>
      <c r="H2" s="9" t="s">
        <v>17</v>
      </c>
      <c r="I2" s="9" t="s">
        <v>18</v>
      </c>
      <c r="J2" s="9" t="s">
        <v>19</v>
      </c>
      <c r="K2" s="46" t="s">
        <v>20</v>
      </c>
      <c r="L2" s="14"/>
      <c r="M2" s="13" t="s">
        <v>28</v>
      </c>
      <c r="N2" s="9" t="s">
        <v>29</v>
      </c>
      <c r="O2" s="9" t="s">
        <v>30</v>
      </c>
      <c r="P2" s="9" t="s">
        <v>31</v>
      </c>
      <c r="Q2" s="9" t="s">
        <v>32</v>
      </c>
      <c r="R2" s="9" t="s">
        <v>33</v>
      </c>
      <c r="S2" s="9" t="s">
        <v>34</v>
      </c>
      <c r="T2" s="9" t="s">
        <v>35</v>
      </c>
      <c r="U2" s="9" t="s">
        <v>36</v>
      </c>
      <c r="V2" s="9" t="s">
        <v>37</v>
      </c>
    </row>
    <row r="3" spans="1:24" s="3" customFormat="1" ht="12" customHeight="1" x14ac:dyDescent="0.25">
      <c r="A3" s="15" t="s">
        <v>134</v>
      </c>
      <c r="K3" s="66"/>
      <c r="L3" s="15" t="s">
        <v>24</v>
      </c>
      <c r="V3" s="16"/>
    </row>
    <row r="4" spans="1:24" ht="12" customHeight="1" x14ac:dyDescent="0.2">
      <c r="A4" s="16" t="s">
        <v>4</v>
      </c>
      <c r="B4" s="11">
        <f t="shared" ref="B4:K4" si="0">SUM(B6*B54)</f>
        <v>45859920</v>
      </c>
      <c r="C4" s="11">
        <f t="shared" si="0"/>
        <v>48180431.952</v>
      </c>
      <c r="D4" s="11">
        <f t="shared" si="0"/>
        <v>50618361.808771208</v>
      </c>
      <c r="E4" s="11">
        <f t="shared" si="0"/>
        <v>52663343.625845566</v>
      </c>
      <c r="F4" s="11">
        <f t="shared" si="0"/>
        <v>54790942.70832973</v>
      </c>
      <c r="G4" s="11">
        <f t="shared" si="0"/>
        <v>65555171.312808186</v>
      </c>
      <c r="H4" s="11">
        <f t="shared" si="0"/>
        <v>67534937.486455008</v>
      </c>
      <c r="I4" s="11">
        <f t="shared" si="0"/>
        <v>69574492.598545954</v>
      </c>
      <c r="J4" s="11">
        <f t="shared" si="0"/>
        <v>71675642.275022045</v>
      </c>
      <c r="K4" s="11">
        <f t="shared" si="0"/>
        <v>73840246.671727702</v>
      </c>
      <c r="L4" s="16" t="s">
        <v>4</v>
      </c>
      <c r="M4" s="11">
        <f t="shared" ref="M4:V4" si="1">SUM(M6*M54)</f>
        <v>76070222.121213883</v>
      </c>
      <c r="N4" s="11">
        <f t="shared" si="1"/>
        <v>78367542.829274535</v>
      </c>
      <c r="O4" s="11">
        <f t="shared" si="1"/>
        <v>80734242.622718632</v>
      </c>
      <c r="P4" s="11">
        <f t="shared" si="1"/>
        <v>83172416.749924734</v>
      </c>
      <c r="Q4" s="11">
        <f t="shared" si="1"/>
        <v>85684223.735772461</v>
      </c>
      <c r="R4" s="11">
        <f t="shared" si="1"/>
        <v>101512670.38648172</v>
      </c>
      <c r="S4" s="11">
        <f t="shared" si="1"/>
        <v>104578353.03215349</v>
      </c>
      <c r="T4" s="11">
        <f t="shared" si="1"/>
        <v>107736619.29372452</v>
      </c>
      <c r="U4" s="11">
        <f t="shared" si="1"/>
        <v>110990265.19639499</v>
      </c>
      <c r="V4" s="38">
        <f t="shared" si="1"/>
        <v>114342171.20532613</v>
      </c>
    </row>
    <row r="5" spans="1:24" ht="12" customHeight="1" x14ac:dyDescent="0.2">
      <c r="A5" s="16" t="s">
        <v>6</v>
      </c>
      <c r="B5" s="20">
        <f t="shared" ref="B5:V5" si="2">SUM(B6-B4)</f>
        <v>14482080</v>
      </c>
      <c r="C5" s="20">
        <f t="shared" si="2"/>
        <v>13368408.048</v>
      </c>
      <c r="D5" s="20">
        <f t="shared" si="2"/>
        <v>12161454.991228797</v>
      </c>
      <c r="E5" s="20">
        <f t="shared" si="2"/>
        <v>11372069.510154434</v>
      </c>
      <c r="F5" s="20">
        <f t="shared" si="2"/>
        <v>10525178.690390266</v>
      </c>
      <c r="G5" s="20">
        <f t="shared" si="2"/>
        <v>11060639.087890372</v>
      </c>
      <c r="H5" s="20">
        <f t="shared" si="2"/>
        <v>10613189.122257531</v>
      </c>
      <c r="I5" s="20">
        <f t="shared" si="2"/>
        <v>10136596.542340845</v>
      </c>
      <c r="J5" s="20">
        <f t="shared" si="2"/>
        <v>9629668.64868249</v>
      </c>
      <c r="K5" s="20">
        <f t="shared" si="2"/>
        <v>9091170.4704509228</v>
      </c>
      <c r="L5" s="16" t="s">
        <v>6</v>
      </c>
      <c r="M5" s="20">
        <f t="shared" si="2"/>
        <v>8519823.363808319</v>
      </c>
      <c r="N5" s="20">
        <f t="shared" si="2"/>
        <v>7914303.5654481053</v>
      </c>
      <c r="O5" s="20">
        <f t="shared" si="2"/>
        <v>7273240.6998984665</v>
      </c>
      <c r="P5" s="20">
        <f t="shared" si="2"/>
        <v>6595216.2391446978</v>
      </c>
      <c r="Q5" s="20">
        <f t="shared" si="2"/>
        <v>5878761.9130783677</v>
      </c>
      <c r="R5" s="20">
        <f t="shared" si="2"/>
        <v>5890711.7796203047</v>
      </c>
      <c r="S5" s="20">
        <f t="shared" si="2"/>
        <v>4973096.7772705853</v>
      </c>
      <c r="T5" s="20">
        <f t="shared" si="2"/>
        <v>4005859.5118880272</v>
      </c>
      <c r="U5" s="20">
        <f t="shared" si="2"/>
        <v>2987063.1853298098</v>
      </c>
      <c r="V5" s="43">
        <f t="shared" si="2"/>
        <v>1914703.7440331727</v>
      </c>
    </row>
    <row r="6" spans="1:24" s="3" customFormat="1" ht="12" customHeight="1" x14ac:dyDescent="0.25">
      <c r="A6" s="24" t="s">
        <v>25</v>
      </c>
      <c r="B6" s="25">
        <f t="shared" ref="B6:V6" si="3">SUM(B50*B51)</f>
        <v>60342000</v>
      </c>
      <c r="C6" s="25">
        <f t="shared" si="3"/>
        <v>61548840</v>
      </c>
      <c r="D6" s="25">
        <f t="shared" si="3"/>
        <v>62779816.800000004</v>
      </c>
      <c r="E6" s="25">
        <f t="shared" si="3"/>
        <v>64035413.136</v>
      </c>
      <c r="F6" s="25">
        <f t="shared" si="3"/>
        <v>65316121.398719996</v>
      </c>
      <c r="G6" s="25">
        <f t="shared" si="3"/>
        <v>76615810.400698557</v>
      </c>
      <c r="H6" s="25">
        <f t="shared" si="3"/>
        <v>78148126.608712539</v>
      </c>
      <c r="I6" s="25">
        <f t="shared" si="3"/>
        <v>79711089.140886799</v>
      </c>
      <c r="J6" s="25">
        <f t="shared" si="3"/>
        <v>81305310.923704535</v>
      </c>
      <c r="K6" s="67">
        <f t="shared" si="3"/>
        <v>82931417.142178625</v>
      </c>
      <c r="L6" s="24" t="s">
        <v>25</v>
      </c>
      <c r="M6" s="25">
        <f t="shared" si="3"/>
        <v>84590045.485022202</v>
      </c>
      <c r="N6" s="25">
        <f t="shared" si="3"/>
        <v>86281846.394722641</v>
      </c>
      <c r="O6" s="25">
        <f t="shared" si="3"/>
        <v>88007483.322617099</v>
      </c>
      <c r="P6" s="25">
        <f t="shared" si="3"/>
        <v>89767632.989069432</v>
      </c>
      <c r="Q6" s="25">
        <f t="shared" si="3"/>
        <v>91562985.648850828</v>
      </c>
      <c r="R6" s="25">
        <f t="shared" si="3"/>
        <v>107403382.16610202</v>
      </c>
      <c r="S6" s="25">
        <f t="shared" si="3"/>
        <v>109551449.80942407</v>
      </c>
      <c r="T6" s="25">
        <f t="shared" si="3"/>
        <v>111742478.80561255</v>
      </c>
      <c r="U6" s="25">
        <f t="shared" si="3"/>
        <v>113977328.3817248</v>
      </c>
      <c r="V6" s="35">
        <f t="shared" si="3"/>
        <v>116256874.9493593</v>
      </c>
    </row>
    <row r="7" spans="1:24" ht="12" customHeight="1" x14ac:dyDescent="0.2">
      <c r="A7" s="16" t="s">
        <v>145</v>
      </c>
      <c r="B7" s="11">
        <f>SUM(((B50*B55)/2)*B60)</f>
        <v>10680000</v>
      </c>
      <c r="C7" s="11">
        <f>SUM(((C50*C55)/2)*C60)</f>
        <v>9858707.9999999981</v>
      </c>
      <c r="D7" s="11">
        <f t="shared" ref="D7:K7" si="4">SUM(((D50*D55)/2)*D60)</f>
        <v>8968624.6247999948</v>
      </c>
      <c r="E7" s="11">
        <f t="shared" si="4"/>
        <v>8386481.9396419125</v>
      </c>
      <c r="F7" s="11">
        <f t="shared" si="4"/>
        <v>7761931.1876034439</v>
      </c>
      <c r="G7" s="11">
        <f t="shared" si="4"/>
        <v>7092881.292734622</v>
      </c>
      <c r="H7" s="11">
        <f t="shared" si="4"/>
        <v>6805944.0312027279</v>
      </c>
      <c r="I7" s="11">
        <f t="shared" si="4"/>
        <v>6500318.4188411236</v>
      </c>
      <c r="J7" s="11">
        <f t="shared" si="4"/>
        <v>6175239.6105441153</v>
      </c>
      <c r="K7" s="11">
        <f t="shared" si="4"/>
        <v>5829915.6537456214</v>
      </c>
      <c r="L7" s="16" t="s">
        <v>145</v>
      </c>
      <c r="M7" s="11">
        <f t="shared" ref="M7:V7" si="5">SUM(((M50*M55)/2)*M60)</f>
        <v>5463526.5895910738</v>
      </c>
      <c r="N7" s="11">
        <f t="shared" si="5"/>
        <v>5075223.525361103</v>
      </c>
      <c r="O7" s="11">
        <f t="shared" si="5"/>
        <v>4664127.6772466777</v>
      </c>
      <c r="P7" s="11">
        <f t="shared" si="5"/>
        <v>4229329.3825475853</v>
      </c>
      <c r="Q7" s="11">
        <f t="shared" si="5"/>
        <v>3769887.0803375426</v>
      </c>
      <c r="R7" s="11">
        <f t="shared" si="5"/>
        <v>3284826.2596094962</v>
      </c>
      <c r="S7" s="11">
        <f t="shared" si="5"/>
        <v>2773138.3738843771</v>
      </c>
      <c r="T7" s="11">
        <f t="shared" si="5"/>
        <v>2233779.7212350536</v>
      </c>
      <c r="U7" s="11">
        <f t="shared" si="5"/>
        <v>1665670.2886449108</v>
      </c>
      <c r="V7" s="179">
        <f t="shared" si="5"/>
        <v>1067692.559587115</v>
      </c>
    </row>
    <row r="8" spans="1:24" s="27" customFormat="1" ht="16.149999999999999" customHeight="1" x14ac:dyDescent="0.2">
      <c r="A8" s="65" t="s">
        <v>26</v>
      </c>
      <c r="B8" s="26">
        <f>SUM(B6:B7)</f>
        <v>71022000</v>
      </c>
      <c r="C8" s="26">
        <f t="shared" ref="C8:V8" si="6">SUM(C6:C7)</f>
        <v>71407548</v>
      </c>
      <c r="D8" s="26">
        <f t="shared" si="6"/>
        <v>71748441.424799994</v>
      </c>
      <c r="E8" s="26">
        <f t="shared" si="6"/>
        <v>72421895.075641915</v>
      </c>
      <c r="F8" s="26">
        <f t="shared" si="6"/>
        <v>73078052.58632344</v>
      </c>
      <c r="G8" s="26">
        <f t="shared" si="6"/>
        <v>83708691.69343318</v>
      </c>
      <c r="H8" s="26">
        <f t="shared" si="6"/>
        <v>84954070.639915273</v>
      </c>
      <c r="I8" s="26">
        <f t="shared" si="6"/>
        <v>86211407.559727922</v>
      </c>
      <c r="J8" s="26">
        <f t="shared" si="6"/>
        <v>87480550.53424865</v>
      </c>
      <c r="K8" s="26">
        <f t="shared" si="6"/>
        <v>88761332.795924246</v>
      </c>
      <c r="L8" s="65" t="s">
        <v>26</v>
      </c>
      <c r="M8" s="26">
        <f t="shared" si="6"/>
        <v>90053572.074613273</v>
      </c>
      <c r="N8" s="26">
        <f t="shared" si="6"/>
        <v>91357069.920083746</v>
      </c>
      <c r="O8" s="26">
        <f t="shared" si="6"/>
        <v>92671610.999863774</v>
      </c>
      <c r="P8" s="26">
        <f t="shared" si="6"/>
        <v>93996962.371617019</v>
      </c>
      <c r="Q8" s="26">
        <f t="shared" si="6"/>
        <v>95332872.729188368</v>
      </c>
      <c r="R8" s="26">
        <f t="shared" si="6"/>
        <v>110688208.42571151</v>
      </c>
      <c r="S8" s="26">
        <f t="shared" si="6"/>
        <v>112324588.18330845</v>
      </c>
      <c r="T8" s="26">
        <f t="shared" si="6"/>
        <v>113976258.5268476</v>
      </c>
      <c r="U8" s="26">
        <f t="shared" si="6"/>
        <v>115642998.67036971</v>
      </c>
      <c r="V8" s="39">
        <f t="shared" si="6"/>
        <v>117324567.50894642</v>
      </c>
    </row>
    <row r="9" spans="1:24" ht="6" customHeight="1" x14ac:dyDescent="0.2">
      <c r="A9" s="16"/>
      <c r="B9" s="11"/>
      <c r="C9" s="11"/>
      <c r="D9" s="11"/>
      <c r="E9" s="11"/>
      <c r="F9" s="11"/>
      <c r="G9" s="11"/>
      <c r="H9" s="11"/>
      <c r="I9" s="11"/>
      <c r="J9" s="11"/>
      <c r="K9" s="11"/>
      <c r="L9" s="16"/>
      <c r="M9" s="11"/>
      <c r="N9" s="11"/>
      <c r="O9" s="11"/>
      <c r="P9" s="11"/>
      <c r="Q9" s="11"/>
      <c r="R9" s="11"/>
      <c r="S9" s="11"/>
      <c r="T9" s="11"/>
      <c r="U9" s="11"/>
      <c r="V9" s="38"/>
    </row>
    <row r="10" spans="1:24" s="3" customFormat="1" ht="12" customHeight="1" x14ac:dyDescent="0.25">
      <c r="A10" s="18" t="s">
        <v>133</v>
      </c>
      <c r="B10" s="11" t="s">
        <v>0</v>
      </c>
      <c r="K10" s="66"/>
      <c r="L10" s="18" t="s">
        <v>14</v>
      </c>
      <c r="V10" s="16"/>
    </row>
    <row r="11" spans="1:24" s="3" customFormat="1" ht="12" customHeight="1" x14ac:dyDescent="0.2">
      <c r="A11" s="16" t="s">
        <v>182</v>
      </c>
      <c r="B11" s="6">
        <f t="shared" ref="B11:K11" si="7">SUM(B5*B52*B56*B61)</f>
        <v>-2114383.6800000002</v>
      </c>
      <c r="C11" s="6">
        <f t="shared" si="7"/>
        <v>-1756608.8175072002</v>
      </c>
      <c r="D11" s="6">
        <f t="shared" si="7"/>
        <v>-1438213.6672627176</v>
      </c>
      <c r="E11" s="6">
        <f t="shared" si="7"/>
        <v>-1277617.8932573204</v>
      </c>
      <c r="F11" s="6">
        <f t="shared" si="7"/>
        <v>-1123348.6378128114</v>
      </c>
      <c r="G11" s="6">
        <f t="shared" si="7"/>
        <v>-1121473.2316955158</v>
      </c>
      <c r="H11" s="6">
        <f t="shared" si="7"/>
        <v>-1054582.7651345911</v>
      </c>
      <c r="I11" s="6">
        <f t="shared" si="7"/>
        <v>-987081.47850602563</v>
      </c>
      <c r="J11" s="6">
        <f t="shared" si="7"/>
        <v>-918963.49795610888</v>
      </c>
      <c r="K11" s="6">
        <f t="shared" si="7"/>
        <v>-850222.89327060326</v>
      </c>
      <c r="L11" s="16" t="s">
        <v>182</v>
      </c>
      <c r="M11" s="6">
        <f t="shared" ref="M11:V11" si="8">SUM(M5*M52*M56*M61)</f>
        <v>-780853.67733389966</v>
      </c>
      <c r="N11" s="6">
        <f t="shared" si="8"/>
        <v>-710849.80558299553</v>
      </c>
      <c r="O11" s="6">
        <f t="shared" si="8"/>
        <v>-640205.17545622517</v>
      </c>
      <c r="P11" s="6">
        <f t="shared" si="8"/>
        <v>-568913.62583670206</v>
      </c>
      <c r="Q11" s="6">
        <f t="shared" si="8"/>
        <v>-496968.93649042473</v>
      </c>
      <c r="R11" s="6">
        <f t="shared" si="8"/>
        <v>-488019.55162382574</v>
      </c>
      <c r="S11" s="6">
        <f t="shared" si="8"/>
        <v>-403759.20248983556</v>
      </c>
      <c r="T11" s="6">
        <f t="shared" si="8"/>
        <v>-318725.86839945678</v>
      </c>
      <c r="U11" s="6">
        <f t="shared" si="8"/>
        <v>-232912.11755810701</v>
      </c>
      <c r="V11" s="40">
        <f t="shared" si="8"/>
        <v>-146310.44686139212</v>
      </c>
    </row>
    <row r="12" spans="1:24" s="3" customFormat="1" ht="12" customHeight="1" x14ac:dyDescent="0.2">
      <c r="A12" s="16" t="s">
        <v>183</v>
      </c>
      <c r="B12" s="6">
        <f t="shared" ref="B12:K12" si="9">SUM(B5*B53*B57*B61)</f>
        <v>-1564064.6400000001</v>
      </c>
      <c r="C12" s="6">
        <f t="shared" si="9"/>
        <v>-1299409.2622656003</v>
      </c>
      <c r="D12" s="6">
        <f t="shared" si="9"/>
        <v>-1063884.0826326953</v>
      </c>
      <c r="E12" s="6">
        <f t="shared" si="9"/>
        <v>-945087.20871089457</v>
      </c>
      <c r="F12" s="6">
        <f t="shared" si="9"/>
        <v>-830970.22523139487</v>
      </c>
      <c r="G12" s="6">
        <f t="shared" si="9"/>
        <v>-829582.93851449119</v>
      </c>
      <c r="H12" s="6">
        <f t="shared" si="9"/>
        <v>-780102.31941462902</v>
      </c>
      <c r="I12" s="6">
        <f t="shared" si="9"/>
        <v>-730169.86081267649</v>
      </c>
      <c r="J12" s="6">
        <f t="shared" si="9"/>
        <v>-679781.21766616276</v>
      </c>
      <c r="K12" s="6">
        <f t="shared" si="9"/>
        <v>-628932.00324126822</v>
      </c>
      <c r="L12" s="16" t="s">
        <v>183</v>
      </c>
      <c r="M12" s="6">
        <f t="shared" ref="M12:V12" si="10">SUM(M5*M53*M57*M61)</f>
        <v>-577617.78871274763</v>
      </c>
      <c r="N12" s="6">
        <f t="shared" si="10"/>
        <v>-525834.10276002414</v>
      </c>
      <c r="O12" s="6">
        <f t="shared" si="10"/>
        <v>-473576.43115939945</v>
      </c>
      <c r="P12" s="6">
        <f t="shared" si="10"/>
        <v>-420840.21637235489</v>
      </c>
      <c r="Q12" s="6">
        <f t="shared" si="10"/>
        <v>-367620.85712990322</v>
      </c>
      <c r="R12" s="6">
        <f t="shared" si="10"/>
        <v>-361000.76421488484</v>
      </c>
      <c r="S12" s="6">
        <f t="shared" si="10"/>
        <v>-298671.19088289206</v>
      </c>
      <c r="T12" s="6">
        <f t="shared" si="10"/>
        <v>-235769.82045987216</v>
      </c>
      <c r="U12" s="6">
        <f t="shared" si="10"/>
        <v>-172291.15545394216</v>
      </c>
      <c r="V12" s="40">
        <f t="shared" si="10"/>
        <v>-108229.64562349557</v>
      </c>
    </row>
    <row r="13" spans="1:24" s="3" customFormat="1" ht="12" customHeight="1" x14ac:dyDescent="0.2">
      <c r="A13" s="16" t="s">
        <v>169</v>
      </c>
      <c r="B13" s="6">
        <f>SUM((B50/2)*B60*B52*B55*B56*B61)+((B50/2)*B60*B53*B55*B57*B61)</f>
        <v>-2712720</v>
      </c>
      <c r="C13" s="6">
        <f t="shared" ref="C13:K13" si="11">SUM((C50/2)*C60*C52*C55*C56*C61)+((C50/2)*C60*C53*C55*C57*C61)</f>
        <v>-2253700.6487999996</v>
      </c>
      <c r="D13" s="6">
        <f t="shared" si="11"/>
        <v>-1845204.8303063512</v>
      </c>
      <c r="E13" s="6">
        <f t="shared" si="11"/>
        <v>-1639163.0545488312</v>
      </c>
      <c r="F13" s="6">
        <f t="shared" si="11"/>
        <v>-1441238.0995901232</v>
      </c>
      <c r="G13" s="6">
        <f t="shared" si="11"/>
        <v>-1251158.2468962464</v>
      </c>
      <c r="H13" s="6">
        <f t="shared" si="11"/>
        <v>-1176532.6949783384</v>
      </c>
      <c r="I13" s="6">
        <f t="shared" si="11"/>
        <v>-1101225.6889308083</v>
      </c>
      <c r="J13" s="6">
        <f t="shared" si="11"/>
        <v>-1025230.6756587612</v>
      </c>
      <c r="K13" s="6">
        <f t="shared" si="11"/>
        <v>-948541.03918934928</v>
      </c>
      <c r="L13" s="16" t="s">
        <v>169</v>
      </c>
      <c r="M13" s="6">
        <f t="shared" ref="M13:V13" si="12">SUM((M50/2)*M60*M52*M55*M56*M61)+((M50/2)*M60*M53*M55*M57*M61)</f>
        <v>-871150.10006839014</v>
      </c>
      <c r="N13" s="6">
        <f t="shared" si="12"/>
        <v>-793051.11475119879</v>
      </c>
      <c r="O13" s="6">
        <f t="shared" si="12"/>
        <v>-714237.27498757537</v>
      </c>
      <c r="P13" s="6">
        <f t="shared" si="12"/>
        <v>-634701.70720088354</v>
      </c>
      <c r="Q13" s="6">
        <f t="shared" si="12"/>
        <v>-554437.47186118213</v>
      </c>
      <c r="R13" s="6">
        <f t="shared" si="12"/>
        <v>-473437.56285232928</v>
      </c>
      <c r="S13" s="6">
        <f t="shared" si="12"/>
        <v>-391694.90683302307</v>
      </c>
      <c r="T13" s="6">
        <f t="shared" si="12"/>
        <v>-309202.3625917047</v>
      </c>
      <c r="U13" s="6">
        <f t="shared" si="12"/>
        <v>-225952.72039527388</v>
      </c>
      <c r="V13" s="40">
        <f t="shared" si="12"/>
        <v>-141938.70133155293</v>
      </c>
    </row>
    <row r="14" spans="1:24" s="3" customFormat="1" ht="15" customHeight="1" x14ac:dyDescent="0.25">
      <c r="A14" s="17" t="s">
        <v>1</v>
      </c>
      <c r="B14" s="12">
        <f>SUM(B8:B13)</f>
        <v>64630831.679999992</v>
      </c>
      <c r="C14" s="12">
        <f t="shared" ref="C14:V14" si="13">SUM(C8:C13)</f>
        <v>66097829.271427199</v>
      </c>
      <c r="D14" s="12">
        <f t="shared" si="13"/>
        <v>67401138.844598234</v>
      </c>
      <c r="E14" s="12">
        <f t="shared" si="13"/>
        <v>68560026.919124871</v>
      </c>
      <c r="F14" s="12">
        <f t="shared" si="13"/>
        <v>69682495.623689115</v>
      </c>
      <c r="G14" s="12">
        <f t="shared" si="13"/>
        <v>80506477.276326925</v>
      </c>
      <c r="H14" s="12">
        <f t="shared" si="13"/>
        <v>81942852.860387713</v>
      </c>
      <c r="I14" s="12">
        <f t="shared" si="13"/>
        <v>83392930.531478405</v>
      </c>
      <c r="J14" s="12">
        <f t="shared" si="13"/>
        <v>84856575.142967612</v>
      </c>
      <c r="K14" s="26">
        <f t="shared" si="13"/>
        <v>86333636.860223025</v>
      </c>
      <c r="L14" s="17" t="s">
        <v>1</v>
      </c>
      <c r="M14" s="12">
        <f t="shared" si="13"/>
        <v>87823950.508498222</v>
      </c>
      <c r="N14" s="12">
        <f t="shared" si="13"/>
        <v>89327334.896989524</v>
      </c>
      <c r="O14" s="12">
        <f t="shared" si="13"/>
        <v>90843592.118260562</v>
      </c>
      <c r="P14" s="12">
        <f t="shared" si="13"/>
        <v>92372506.822207078</v>
      </c>
      <c r="Q14" s="12">
        <f t="shared" si="13"/>
        <v>93913845.463706851</v>
      </c>
      <c r="R14" s="12">
        <f t="shared" si="13"/>
        <v>109365750.54702048</v>
      </c>
      <c r="S14" s="12">
        <f t="shared" si="13"/>
        <v>111230462.8831027</v>
      </c>
      <c r="T14" s="12">
        <f t="shared" si="13"/>
        <v>113112560.47539657</v>
      </c>
      <c r="U14" s="12">
        <f t="shared" si="13"/>
        <v>115011842.67696241</v>
      </c>
      <c r="V14" s="39">
        <f t="shared" si="13"/>
        <v>116928088.71512999</v>
      </c>
    </row>
    <row r="15" spans="1:24" s="3" customFormat="1" ht="13.15" customHeight="1" x14ac:dyDescent="0.2">
      <c r="A15" s="30" t="s">
        <v>7</v>
      </c>
      <c r="B15" s="11" t="s">
        <v>0</v>
      </c>
      <c r="K15" s="66"/>
      <c r="L15" s="30" t="s">
        <v>7</v>
      </c>
      <c r="V15" s="16"/>
    </row>
    <row r="16" spans="1:24" s="3" customFormat="1" ht="12" customHeight="1" x14ac:dyDescent="0.2">
      <c r="A16" s="16" t="s">
        <v>8</v>
      </c>
      <c r="B16" s="168">
        <f>SUM('bond calc.'!B54)</f>
        <v>-450000</v>
      </c>
      <c r="C16" s="168">
        <f>SUM('bond calc.'!C54)</f>
        <v>-440000</v>
      </c>
      <c r="D16" s="168">
        <f>SUM('bond calc.'!D54)</f>
        <v>-430000</v>
      </c>
      <c r="E16" s="168">
        <f>SUM('bond calc.'!E54)</f>
        <v>-420000</v>
      </c>
      <c r="F16" s="168">
        <f>SUM('bond calc.'!F54)</f>
        <v>-410000</v>
      </c>
      <c r="G16" s="168">
        <f>SUM('bond calc.'!G54)</f>
        <v>-400000</v>
      </c>
      <c r="H16" s="168">
        <f>SUM('bond calc.'!H54)</f>
        <v>-390000</v>
      </c>
      <c r="I16" s="168">
        <f>SUM('bond calc.'!I54)</f>
        <v>-380000</v>
      </c>
      <c r="J16" s="168">
        <f>SUM('bond calc.'!J54)</f>
        <v>-370000</v>
      </c>
      <c r="K16" s="168">
        <f>SUM('bond calc.'!K54)</f>
        <v>-360000</v>
      </c>
      <c r="L16" s="16" t="s">
        <v>8</v>
      </c>
      <c r="M16" s="167">
        <f>SUM('bond calc.'!B55)</f>
        <v>-350000</v>
      </c>
      <c r="N16" s="167">
        <f>SUM('bond calc.'!C55)</f>
        <v>-340000</v>
      </c>
      <c r="O16" s="167">
        <f>SUM('bond calc.'!D55)</f>
        <v>-330000</v>
      </c>
      <c r="P16" s="167">
        <f>SUM('bond calc.'!E55)</f>
        <v>-320000</v>
      </c>
      <c r="Q16" s="167">
        <f>SUM('bond calc.'!F55)</f>
        <v>-310000</v>
      </c>
      <c r="R16" s="167">
        <f>SUM('bond calc.'!G55)</f>
        <v>-300000</v>
      </c>
      <c r="S16" s="167">
        <f>SUM('bond calc.'!H55)</f>
        <v>-290000</v>
      </c>
      <c r="T16" s="167">
        <f>SUM('bond calc.'!I55)</f>
        <v>-280000</v>
      </c>
      <c r="U16" s="167">
        <f>SUM('bond calc.'!J55)</f>
        <v>-270000</v>
      </c>
      <c r="V16" s="167">
        <f>SUM('bond calc.'!K55)</f>
        <v>-260000</v>
      </c>
      <c r="X16" s="4"/>
    </row>
    <row r="17" spans="1:24" s="3" customFormat="1" ht="12" customHeight="1" x14ac:dyDescent="0.25">
      <c r="A17" s="16" t="s">
        <v>181</v>
      </c>
      <c r="B17" s="10">
        <v>-5646000</v>
      </c>
      <c r="C17" s="4">
        <f t="shared" ref="C17:K17" si="14">SUM(B17*(1+C62))</f>
        <v>-5758920</v>
      </c>
      <c r="D17" s="4">
        <f t="shared" si="14"/>
        <v>-5874098.4000000004</v>
      </c>
      <c r="E17" s="4">
        <f t="shared" si="14"/>
        <v>-5991580.3680000007</v>
      </c>
      <c r="F17" s="4">
        <f t="shared" si="14"/>
        <v>-6111411.9753600005</v>
      </c>
      <c r="G17" s="4">
        <f t="shared" si="14"/>
        <v>-6233640.2148672007</v>
      </c>
      <c r="H17" s="4">
        <f t="shared" si="14"/>
        <v>-6358313.0191645445</v>
      </c>
      <c r="I17" s="4">
        <f t="shared" si="14"/>
        <v>-6485479.2795478357</v>
      </c>
      <c r="J17" s="4">
        <f t="shared" si="14"/>
        <v>-6615188.8651387924</v>
      </c>
      <c r="K17" s="54">
        <f t="shared" si="14"/>
        <v>-6747492.642441568</v>
      </c>
      <c r="L17" s="16" t="s">
        <v>181</v>
      </c>
      <c r="M17" s="4">
        <f>SUM(K17*(1+M62))</f>
        <v>-6882442.4952903995</v>
      </c>
      <c r="N17" s="4">
        <f t="shared" ref="N17:V17" si="15">SUM(M17*(1+N62))</f>
        <v>-7020091.345196208</v>
      </c>
      <c r="O17" s="4">
        <f t="shared" si="15"/>
        <v>-7160493.1721001323</v>
      </c>
      <c r="P17" s="4">
        <f t="shared" si="15"/>
        <v>-7303703.0355421351</v>
      </c>
      <c r="Q17" s="4">
        <f t="shared" si="15"/>
        <v>-7449777.0962529778</v>
      </c>
      <c r="R17" s="4">
        <f t="shared" si="15"/>
        <v>-7598772.6381780375</v>
      </c>
      <c r="S17" s="4">
        <f t="shared" si="15"/>
        <v>-7750748.0909415986</v>
      </c>
      <c r="T17" s="4">
        <f t="shared" si="15"/>
        <v>-7905763.0527604306</v>
      </c>
      <c r="U17" s="4">
        <f t="shared" si="15"/>
        <v>-8063878.3138156394</v>
      </c>
      <c r="V17" s="36">
        <f t="shared" si="15"/>
        <v>-8225155.8800919522</v>
      </c>
      <c r="X17" s="4"/>
    </row>
    <row r="18" spans="1:24" s="3" customFormat="1" ht="14.45" customHeight="1" thickBot="1" x14ac:dyDescent="0.3">
      <c r="A18" s="65" t="s">
        <v>21</v>
      </c>
      <c r="B18" s="5">
        <f t="shared" ref="B18:K18" si="16">SUM(B14:B17)</f>
        <v>58534831.679999992</v>
      </c>
      <c r="C18" s="5">
        <f t="shared" si="16"/>
        <v>59898909.271427199</v>
      </c>
      <c r="D18" s="5">
        <f t="shared" si="16"/>
        <v>61097040.444598235</v>
      </c>
      <c r="E18" s="5">
        <f t="shared" si="16"/>
        <v>62148446.551124871</v>
      </c>
      <c r="F18" s="5">
        <f t="shared" si="16"/>
        <v>63161083.648329116</v>
      </c>
      <c r="G18" s="5">
        <f t="shared" si="16"/>
        <v>73872837.06145972</v>
      </c>
      <c r="H18" s="5">
        <f t="shared" si="16"/>
        <v>75194539.841223165</v>
      </c>
      <c r="I18" s="5">
        <f t="shared" si="16"/>
        <v>76527451.251930565</v>
      </c>
      <c r="J18" s="5">
        <f t="shared" si="16"/>
        <v>77871386.277828813</v>
      </c>
      <c r="K18" s="68">
        <f t="shared" si="16"/>
        <v>79226144.217781454</v>
      </c>
      <c r="L18" s="65" t="s">
        <v>21</v>
      </c>
      <c r="M18" s="5">
        <f t="shared" ref="M18:V18" si="17">SUM(M14:M17)</f>
        <v>80591508.013207823</v>
      </c>
      <c r="N18" s="5">
        <f t="shared" si="17"/>
        <v>81967243.551793322</v>
      </c>
      <c r="O18" s="5">
        <f t="shared" si="17"/>
        <v>83353098.946160436</v>
      </c>
      <c r="P18" s="5">
        <f t="shared" si="17"/>
        <v>84748803.786664948</v>
      </c>
      <c r="Q18" s="5">
        <f t="shared" si="17"/>
        <v>86154068.367453873</v>
      </c>
      <c r="R18" s="5">
        <f t="shared" si="17"/>
        <v>101466977.90884244</v>
      </c>
      <c r="S18" s="5">
        <f t="shared" si="17"/>
        <v>103189714.79216111</v>
      </c>
      <c r="T18" s="5">
        <f t="shared" si="17"/>
        <v>104926797.42263614</v>
      </c>
      <c r="U18" s="5">
        <f t="shared" si="17"/>
        <v>106677964.36314677</v>
      </c>
      <c r="V18" s="42">
        <f t="shared" si="17"/>
        <v>108442932.83503804</v>
      </c>
    </row>
    <row r="19" spans="1:24" s="45" customFormat="1" ht="19.899999999999999" customHeight="1" thickTop="1" x14ac:dyDescent="0.25">
      <c r="A19" s="189" t="s">
        <v>0</v>
      </c>
      <c r="B19" s="189"/>
      <c r="C19" s="189"/>
      <c r="D19" s="189"/>
      <c r="E19" s="189"/>
      <c r="F19" s="189"/>
      <c r="G19" s="189"/>
      <c r="H19" s="189"/>
      <c r="I19" s="189"/>
      <c r="J19" s="189"/>
      <c r="K19" s="189"/>
      <c r="L19" s="189"/>
      <c r="M19" s="189"/>
      <c r="N19" s="189"/>
      <c r="O19" s="189"/>
      <c r="P19" s="189"/>
      <c r="Q19" s="189"/>
      <c r="R19" s="189"/>
      <c r="S19" s="189"/>
      <c r="T19" s="189"/>
      <c r="U19" s="189"/>
      <c r="V19" s="189"/>
    </row>
    <row r="20" spans="1:24" ht="15" customHeight="1" x14ac:dyDescent="0.2">
      <c r="A20" s="186" t="s">
        <v>3</v>
      </c>
      <c r="B20" s="187"/>
      <c r="C20" s="187"/>
      <c r="D20" s="187"/>
      <c r="E20" s="187"/>
      <c r="F20" s="187"/>
      <c r="G20" s="187"/>
      <c r="H20" s="187"/>
      <c r="I20" s="187"/>
      <c r="J20" s="187"/>
      <c r="K20" s="188"/>
      <c r="L20" s="186" t="s">
        <v>3</v>
      </c>
      <c r="M20" s="187"/>
      <c r="N20" s="187"/>
      <c r="O20" s="187"/>
      <c r="P20" s="187"/>
      <c r="Q20" s="187"/>
      <c r="R20" s="187"/>
      <c r="S20" s="187"/>
      <c r="T20" s="187"/>
      <c r="U20" s="187"/>
      <c r="V20" s="187"/>
    </row>
    <row r="21" spans="1:24" s="8" customFormat="1" ht="13.9" customHeight="1" x14ac:dyDescent="0.2">
      <c r="A21" s="14"/>
      <c r="B21" s="13" t="s">
        <v>9</v>
      </c>
      <c r="C21" s="9" t="s">
        <v>10</v>
      </c>
      <c r="D21" s="9" t="s">
        <v>11</v>
      </c>
      <c r="E21" s="9" t="s">
        <v>12</v>
      </c>
      <c r="F21" s="9" t="s">
        <v>13</v>
      </c>
      <c r="G21" s="9" t="s">
        <v>16</v>
      </c>
      <c r="H21" s="9" t="s">
        <v>17</v>
      </c>
      <c r="I21" s="9" t="s">
        <v>18</v>
      </c>
      <c r="J21" s="9" t="s">
        <v>19</v>
      </c>
      <c r="K21" s="46" t="s">
        <v>20</v>
      </c>
      <c r="L21" s="14"/>
      <c r="M21" s="13" t="s">
        <v>28</v>
      </c>
      <c r="N21" s="9" t="s">
        <v>29</v>
      </c>
      <c r="O21" s="9" t="s">
        <v>30</v>
      </c>
      <c r="P21" s="9" t="s">
        <v>31</v>
      </c>
      <c r="Q21" s="9" t="s">
        <v>32</v>
      </c>
      <c r="R21" s="9" t="s">
        <v>33</v>
      </c>
      <c r="S21" s="9" t="s">
        <v>34</v>
      </c>
      <c r="T21" s="9" t="s">
        <v>35</v>
      </c>
      <c r="U21" s="9" t="s">
        <v>36</v>
      </c>
      <c r="V21" s="9" t="s">
        <v>37</v>
      </c>
    </row>
    <row r="22" spans="1:24" s="3" customFormat="1" ht="12" customHeight="1" x14ac:dyDescent="0.25">
      <c r="A22" s="15" t="s">
        <v>135</v>
      </c>
      <c r="B22" s="10"/>
      <c r="K22" s="66"/>
      <c r="L22" s="15" t="s">
        <v>24</v>
      </c>
      <c r="V22" s="44"/>
    </row>
    <row r="23" spans="1:24" ht="12" customHeight="1" x14ac:dyDescent="0.2">
      <c r="A23" s="16" t="s">
        <v>4</v>
      </c>
      <c r="B23" s="11">
        <f t="shared" ref="B23:K23" si="18">SUM(B25*B54)</f>
        <v>45859920</v>
      </c>
      <c r="C23" s="11">
        <f t="shared" si="18"/>
        <v>48180431.952</v>
      </c>
      <c r="D23" s="11">
        <f t="shared" si="18"/>
        <v>50618361.808771208</v>
      </c>
      <c r="E23" s="11">
        <f t="shared" si="18"/>
        <v>52663343.625845566</v>
      </c>
      <c r="F23" s="11">
        <f t="shared" si="18"/>
        <v>54790942.70832973</v>
      </c>
      <c r="G23" s="11">
        <f t="shared" si="18"/>
        <v>65555171.312808186</v>
      </c>
      <c r="H23" s="11">
        <f t="shared" si="18"/>
        <v>67534937.486455008</v>
      </c>
      <c r="I23" s="11">
        <f t="shared" si="18"/>
        <v>69574492.598545954</v>
      </c>
      <c r="J23" s="11">
        <f t="shared" si="18"/>
        <v>71675642.275022045</v>
      </c>
      <c r="K23" s="11">
        <f t="shared" si="18"/>
        <v>73840246.671727702</v>
      </c>
      <c r="L23" s="16" t="s">
        <v>4</v>
      </c>
      <c r="M23" s="11">
        <f t="shared" ref="M23:V23" si="19">SUM(M25*M54)</f>
        <v>76070222.121213883</v>
      </c>
      <c r="N23" s="11">
        <f t="shared" si="19"/>
        <v>78367542.829274535</v>
      </c>
      <c r="O23" s="11">
        <f t="shared" si="19"/>
        <v>80734242.622718632</v>
      </c>
      <c r="P23" s="11">
        <f t="shared" si="19"/>
        <v>83172416.749924734</v>
      </c>
      <c r="Q23" s="11">
        <f t="shared" si="19"/>
        <v>85684223.735772461</v>
      </c>
      <c r="R23" s="11">
        <f t="shared" si="19"/>
        <v>101512670.38648172</v>
      </c>
      <c r="S23" s="11">
        <f t="shared" si="19"/>
        <v>104578353.03215349</v>
      </c>
      <c r="T23" s="11">
        <f t="shared" si="19"/>
        <v>107736619.29372452</v>
      </c>
      <c r="U23" s="11">
        <f t="shared" si="19"/>
        <v>110990265.19639499</v>
      </c>
      <c r="V23" s="38">
        <f t="shared" si="19"/>
        <v>114342171.20532613</v>
      </c>
    </row>
    <row r="24" spans="1:24" ht="12" customHeight="1" x14ac:dyDescent="0.2">
      <c r="A24" s="16" t="s">
        <v>118</v>
      </c>
      <c r="B24" s="11">
        <f t="shared" ref="B24:V24" si="20">SUM(B25-B23)</f>
        <v>14482080</v>
      </c>
      <c r="C24" s="11">
        <f t="shared" si="20"/>
        <v>13368408.048</v>
      </c>
      <c r="D24" s="11">
        <f t="shared" si="20"/>
        <v>12161454.991228797</v>
      </c>
      <c r="E24" s="11">
        <f t="shared" si="20"/>
        <v>11372069.510154434</v>
      </c>
      <c r="F24" s="11">
        <f t="shared" si="20"/>
        <v>10525178.690390266</v>
      </c>
      <c r="G24" s="11">
        <f t="shared" si="20"/>
        <v>11060639.087890372</v>
      </c>
      <c r="H24" s="11">
        <f t="shared" si="20"/>
        <v>10613189.122257531</v>
      </c>
      <c r="I24" s="11">
        <f t="shared" si="20"/>
        <v>10136596.542340845</v>
      </c>
      <c r="J24" s="11">
        <f t="shared" si="20"/>
        <v>9629668.64868249</v>
      </c>
      <c r="K24" s="11">
        <f t="shared" si="20"/>
        <v>9091170.4704509228</v>
      </c>
      <c r="L24" s="16" t="s">
        <v>118</v>
      </c>
      <c r="M24" s="11">
        <f t="shared" si="20"/>
        <v>8519823.363808319</v>
      </c>
      <c r="N24" s="11">
        <f t="shared" si="20"/>
        <v>7914303.5654481053</v>
      </c>
      <c r="O24" s="11">
        <f t="shared" si="20"/>
        <v>7273240.6998984665</v>
      </c>
      <c r="P24" s="11">
        <f t="shared" si="20"/>
        <v>6595216.2391446978</v>
      </c>
      <c r="Q24" s="11">
        <f t="shared" si="20"/>
        <v>5878761.9130783677</v>
      </c>
      <c r="R24" s="11">
        <f t="shared" si="20"/>
        <v>5890711.7796203047</v>
      </c>
      <c r="S24" s="11">
        <f t="shared" si="20"/>
        <v>4973096.7772705853</v>
      </c>
      <c r="T24" s="11">
        <f t="shared" si="20"/>
        <v>4005859.5118880272</v>
      </c>
      <c r="U24" s="11">
        <f t="shared" si="20"/>
        <v>2987063.1853298098</v>
      </c>
      <c r="V24" s="38">
        <f t="shared" si="20"/>
        <v>1914703.7440331727</v>
      </c>
    </row>
    <row r="25" spans="1:24" s="3" customFormat="1" ht="12" customHeight="1" x14ac:dyDescent="0.25">
      <c r="A25" s="24" t="s">
        <v>25</v>
      </c>
      <c r="B25" s="25">
        <f>SUM(B50*B51)</f>
        <v>60342000</v>
      </c>
      <c r="C25" s="25">
        <f t="shared" ref="C25:V25" si="21">SUM(C50*C51)</f>
        <v>61548840</v>
      </c>
      <c r="D25" s="25">
        <f t="shared" si="21"/>
        <v>62779816.800000004</v>
      </c>
      <c r="E25" s="25">
        <f t="shared" si="21"/>
        <v>64035413.136</v>
      </c>
      <c r="F25" s="25">
        <f t="shared" si="21"/>
        <v>65316121.398719996</v>
      </c>
      <c r="G25" s="25">
        <f t="shared" si="21"/>
        <v>76615810.400698557</v>
      </c>
      <c r="H25" s="25">
        <f t="shared" si="21"/>
        <v>78148126.608712539</v>
      </c>
      <c r="I25" s="25">
        <f t="shared" si="21"/>
        <v>79711089.140886799</v>
      </c>
      <c r="J25" s="25">
        <f t="shared" si="21"/>
        <v>81305310.923704535</v>
      </c>
      <c r="K25" s="67">
        <f t="shared" si="21"/>
        <v>82931417.142178625</v>
      </c>
      <c r="L25" s="24" t="s">
        <v>25</v>
      </c>
      <c r="M25" s="25">
        <f t="shared" si="21"/>
        <v>84590045.485022202</v>
      </c>
      <c r="N25" s="25">
        <f t="shared" si="21"/>
        <v>86281846.394722641</v>
      </c>
      <c r="O25" s="25">
        <f t="shared" si="21"/>
        <v>88007483.322617099</v>
      </c>
      <c r="P25" s="25">
        <f t="shared" si="21"/>
        <v>89767632.989069432</v>
      </c>
      <c r="Q25" s="25">
        <f t="shared" si="21"/>
        <v>91562985.648850828</v>
      </c>
      <c r="R25" s="25">
        <f t="shared" si="21"/>
        <v>107403382.16610202</v>
      </c>
      <c r="S25" s="25">
        <f t="shared" si="21"/>
        <v>109551449.80942407</v>
      </c>
      <c r="T25" s="25">
        <f t="shared" si="21"/>
        <v>111742478.80561255</v>
      </c>
      <c r="U25" s="25">
        <f t="shared" si="21"/>
        <v>113977328.3817248</v>
      </c>
      <c r="V25" s="35">
        <f t="shared" si="21"/>
        <v>116256874.9493593</v>
      </c>
    </row>
    <row r="26" spans="1:24" ht="12" customHeight="1" x14ac:dyDescent="0.2">
      <c r="A26" s="16" t="s">
        <v>145</v>
      </c>
      <c r="B26" s="11">
        <f>SUM((((B50*B55)/2)*B60)*0.1)</f>
        <v>1068000</v>
      </c>
      <c r="C26" s="11">
        <f t="shared" ref="C26:K26" si="22">SUM((((C50*C55)/2)*C60)*0.1)</f>
        <v>985870.79999999981</v>
      </c>
      <c r="D26" s="11">
        <f t="shared" si="22"/>
        <v>896862.46247999952</v>
      </c>
      <c r="E26" s="11">
        <f t="shared" si="22"/>
        <v>838648.19396419125</v>
      </c>
      <c r="F26" s="11">
        <f t="shared" si="22"/>
        <v>776193.11876034446</v>
      </c>
      <c r="G26" s="11">
        <f t="shared" si="22"/>
        <v>709288.12927346223</v>
      </c>
      <c r="H26" s="11">
        <f t="shared" si="22"/>
        <v>680594.40312027279</v>
      </c>
      <c r="I26" s="11">
        <f t="shared" si="22"/>
        <v>650031.84188411245</v>
      </c>
      <c r="J26" s="11">
        <f t="shared" si="22"/>
        <v>617523.9610544116</v>
      </c>
      <c r="K26" s="11">
        <f t="shared" si="22"/>
        <v>582991.56537456217</v>
      </c>
      <c r="L26" s="16" t="s">
        <v>145</v>
      </c>
      <c r="M26" s="11">
        <f>SUM((((M50*M55)/2)*M60)*0.1)</f>
        <v>546352.65895910736</v>
      </c>
      <c r="N26" s="11">
        <f t="shared" ref="N26:V26" si="23">SUM((((N50*N55)/2)*N60)*0.1)</f>
        <v>507522.35253611032</v>
      </c>
      <c r="O26" s="11">
        <f t="shared" si="23"/>
        <v>466412.76772466779</v>
      </c>
      <c r="P26" s="11">
        <f t="shared" si="23"/>
        <v>422932.93825475854</v>
      </c>
      <c r="Q26" s="11">
        <f t="shared" si="23"/>
        <v>376988.70803375426</v>
      </c>
      <c r="R26" s="11">
        <f t="shared" si="23"/>
        <v>328482.62596094963</v>
      </c>
      <c r="S26" s="11">
        <f t="shared" si="23"/>
        <v>277313.83738843771</v>
      </c>
      <c r="T26" s="11">
        <f t="shared" si="23"/>
        <v>223377.97212350537</v>
      </c>
      <c r="U26" s="11">
        <f t="shared" si="23"/>
        <v>166567.02886449109</v>
      </c>
      <c r="V26" s="179">
        <f t="shared" si="23"/>
        <v>106769.2559587115</v>
      </c>
    </row>
    <row r="27" spans="1:24" s="27" customFormat="1" ht="16.149999999999999" customHeight="1" x14ac:dyDescent="0.2">
      <c r="A27" s="65" t="s">
        <v>26</v>
      </c>
      <c r="B27" s="26">
        <f>SUM(B25:B26)</f>
        <v>61410000</v>
      </c>
      <c r="C27" s="26">
        <f t="shared" ref="C27:V27" si="24">SUM(C25:C26)</f>
        <v>62534710.799999997</v>
      </c>
      <c r="D27" s="26">
        <f t="shared" si="24"/>
        <v>63676679.262480006</v>
      </c>
      <c r="E27" s="26">
        <f t="shared" si="24"/>
        <v>64874061.329964191</v>
      </c>
      <c r="F27" s="26">
        <f t="shared" si="24"/>
        <v>66092314.517480344</v>
      </c>
      <c r="G27" s="26">
        <f t="shared" si="24"/>
        <v>77325098.529972017</v>
      </c>
      <c r="H27" s="26">
        <f t="shared" si="24"/>
        <v>78828721.011832818</v>
      </c>
      <c r="I27" s="26">
        <f t="shared" si="24"/>
        <v>80361120.982770905</v>
      </c>
      <c r="J27" s="26">
        <f t="shared" si="24"/>
        <v>81922834.884758949</v>
      </c>
      <c r="K27" s="26">
        <f t="shared" si="24"/>
        <v>83514408.707553193</v>
      </c>
      <c r="L27" s="65" t="s">
        <v>26</v>
      </c>
      <c r="M27" s="26">
        <f t="shared" si="24"/>
        <v>85136398.143981308</v>
      </c>
      <c r="N27" s="26">
        <f t="shared" si="24"/>
        <v>86789368.747258753</v>
      </c>
      <c r="O27" s="26">
        <f t="shared" si="24"/>
        <v>88473896.090341762</v>
      </c>
      <c r="P27" s="26">
        <f t="shared" si="24"/>
        <v>90190565.927324191</v>
      </c>
      <c r="Q27" s="26">
        <f t="shared" si="24"/>
        <v>91939974.356884584</v>
      </c>
      <c r="R27" s="26">
        <f t="shared" si="24"/>
        <v>107731864.79206297</v>
      </c>
      <c r="S27" s="26">
        <f t="shared" si="24"/>
        <v>109828763.64681251</v>
      </c>
      <c r="T27" s="26">
        <f t="shared" si="24"/>
        <v>111965856.77773605</v>
      </c>
      <c r="U27" s="26">
        <f t="shared" si="24"/>
        <v>114143895.41058929</v>
      </c>
      <c r="V27" s="39">
        <f t="shared" si="24"/>
        <v>116363644.205318</v>
      </c>
    </row>
    <row r="28" spans="1:24" s="3" customFormat="1" ht="12" customHeight="1" x14ac:dyDescent="0.25">
      <c r="A28" s="16" t="s">
        <v>0</v>
      </c>
      <c r="B28" s="11"/>
      <c r="K28" s="66"/>
      <c r="L28" s="16" t="s">
        <v>0</v>
      </c>
      <c r="V28" s="16"/>
    </row>
    <row r="29" spans="1:24" s="3" customFormat="1" ht="12" customHeight="1" x14ac:dyDescent="0.25">
      <c r="A29" s="18" t="s">
        <v>136</v>
      </c>
      <c r="B29" s="11"/>
      <c r="K29" s="66"/>
      <c r="L29" s="18" t="s">
        <v>14</v>
      </c>
      <c r="V29" s="16"/>
    </row>
    <row r="30" spans="1:24" s="3" customFormat="1" ht="12" customHeight="1" x14ac:dyDescent="0.2">
      <c r="A30" s="16" t="s">
        <v>182</v>
      </c>
      <c r="B30" s="6">
        <f t="shared" ref="B30:K30" si="25">SUM(B5*B52*B56*B61)*0.1</f>
        <v>-211438.36800000002</v>
      </c>
      <c r="C30" s="6">
        <f t="shared" si="25"/>
        <v>-175660.88175072003</v>
      </c>
      <c r="D30" s="6">
        <f t="shared" si="25"/>
        <v>-143821.36672627178</v>
      </c>
      <c r="E30" s="6">
        <f t="shared" si="25"/>
        <v>-127761.78932573204</v>
      </c>
      <c r="F30" s="6">
        <f t="shared" si="25"/>
        <v>-112334.86378128115</v>
      </c>
      <c r="G30" s="6">
        <f t="shared" si="25"/>
        <v>-112147.32316955159</v>
      </c>
      <c r="H30" s="6">
        <f t="shared" si="25"/>
        <v>-105458.27651345912</v>
      </c>
      <c r="I30" s="6">
        <f t="shared" si="25"/>
        <v>-98708.147850602574</v>
      </c>
      <c r="J30" s="6">
        <f t="shared" si="25"/>
        <v>-91896.349795610891</v>
      </c>
      <c r="K30" s="6">
        <f t="shared" si="25"/>
        <v>-85022.289327060338</v>
      </c>
      <c r="L30" s="16" t="s">
        <v>182</v>
      </c>
      <c r="M30" s="6">
        <f t="shared" ref="M30:V30" si="26">SUM(M5*M52*M56*M61)*0.1</f>
        <v>-78085.367733389969</v>
      </c>
      <c r="N30" s="6">
        <f t="shared" si="26"/>
        <v>-71084.980558299561</v>
      </c>
      <c r="O30" s="6">
        <f t="shared" si="26"/>
        <v>-64020.517545622519</v>
      </c>
      <c r="P30" s="6">
        <f t="shared" si="26"/>
        <v>-56891.362583670212</v>
      </c>
      <c r="Q30" s="6">
        <f t="shared" si="26"/>
        <v>-49696.893649042475</v>
      </c>
      <c r="R30" s="6">
        <f t="shared" si="26"/>
        <v>-48801.955162382576</v>
      </c>
      <c r="S30" s="6">
        <f t="shared" si="26"/>
        <v>-40375.920248983559</v>
      </c>
      <c r="T30" s="6">
        <f t="shared" si="26"/>
        <v>-31872.586839945681</v>
      </c>
      <c r="U30" s="6">
        <f t="shared" si="26"/>
        <v>-23291.211755810702</v>
      </c>
      <c r="V30" s="40">
        <f t="shared" si="26"/>
        <v>-14631.044686139212</v>
      </c>
    </row>
    <row r="31" spans="1:24" s="3" customFormat="1" ht="12" customHeight="1" x14ac:dyDescent="0.25">
      <c r="A31" s="16" t="s">
        <v>183</v>
      </c>
      <c r="B31" s="10">
        <f t="shared" ref="B31:K31" si="27">SUM(B5*B53*B57*B61)*0.1</f>
        <v>-156406.46400000001</v>
      </c>
      <c r="C31" s="10">
        <f t="shared" si="27"/>
        <v>-129940.92622656003</v>
      </c>
      <c r="D31" s="10">
        <f t="shared" si="27"/>
        <v>-106388.40826326954</v>
      </c>
      <c r="E31" s="10">
        <f t="shared" si="27"/>
        <v>-94508.720871089463</v>
      </c>
      <c r="F31" s="10">
        <f t="shared" si="27"/>
        <v>-83097.022523139487</v>
      </c>
      <c r="G31" s="10">
        <f t="shared" si="27"/>
        <v>-82958.293851449125</v>
      </c>
      <c r="H31" s="10">
        <f t="shared" si="27"/>
        <v>-78010.231941462902</v>
      </c>
      <c r="I31" s="10">
        <f t="shared" si="27"/>
        <v>-73016.986081267649</v>
      </c>
      <c r="J31" s="10">
        <f t="shared" si="27"/>
        <v>-67978.121766616285</v>
      </c>
      <c r="K31" s="10">
        <f t="shared" si="27"/>
        <v>-62893.200324126825</v>
      </c>
      <c r="L31" s="16" t="s">
        <v>183</v>
      </c>
      <c r="M31" s="10">
        <f t="shared" ref="M31:V31" si="28">SUM(M5*M53*M57*M61)*0.1</f>
        <v>-57761.778871274764</v>
      </c>
      <c r="N31" s="10">
        <f t="shared" si="28"/>
        <v>-52583.410276002418</v>
      </c>
      <c r="O31" s="10">
        <f t="shared" si="28"/>
        <v>-47357.643115939951</v>
      </c>
      <c r="P31" s="10">
        <f t="shared" si="28"/>
        <v>-42084.021637235492</v>
      </c>
      <c r="Q31" s="10">
        <f t="shared" si="28"/>
        <v>-36762.085712990323</v>
      </c>
      <c r="R31" s="10">
        <f t="shared" si="28"/>
        <v>-36100.076421488484</v>
      </c>
      <c r="S31" s="10">
        <f t="shared" si="28"/>
        <v>-29867.119088289208</v>
      </c>
      <c r="T31" s="10">
        <f t="shared" si="28"/>
        <v>-23576.982045987217</v>
      </c>
      <c r="U31" s="10">
        <f t="shared" si="28"/>
        <v>-17229.115545394216</v>
      </c>
      <c r="V31" s="38">
        <f t="shared" si="28"/>
        <v>-10822.964562349558</v>
      </c>
    </row>
    <row r="32" spans="1:24" s="3" customFormat="1" ht="12" customHeight="1" x14ac:dyDescent="0.2">
      <c r="A32" s="16" t="s">
        <v>169</v>
      </c>
      <c r="B32" s="6">
        <f>B13*0.1</f>
        <v>-271272</v>
      </c>
      <c r="C32" s="6">
        <f t="shared" ref="C32:V32" si="29">C13*0.1</f>
        <v>-225370.06487999996</v>
      </c>
      <c r="D32" s="6">
        <f t="shared" si="29"/>
        <v>-184520.48303063514</v>
      </c>
      <c r="E32" s="6">
        <f t="shared" si="29"/>
        <v>-163916.30545488314</v>
      </c>
      <c r="F32" s="6">
        <f t="shared" si="29"/>
        <v>-144123.80995901232</v>
      </c>
      <c r="G32" s="6">
        <f t="shared" si="29"/>
        <v>-125115.82468962466</v>
      </c>
      <c r="H32" s="6">
        <f t="shared" si="29"/>
        <v>-117653.26949783385</v>
      </c>
      <c r="I32" s="6">
        <f t="shared" si="29"/>
        <v>-110122.56889308084</v>
      </c>
      <c r="J32" s="6">
        <f t="shared" si="29"/>
        <v>-102523.06756587612</v>
      </c>
      <c r="K32" s="6">
        <f t="shared" si="29"/>
        <v>-94854.103918934939</v>
      </c>
      <c r="L32" s="16" t="s">
        <v>169</v>
      </c>
      <c r="M32" s="6">
        <f t="shared" si="29"/>
        <v>-87115.010006839017</v>
      </c>
      <c r="N32" s="6">
        <f t="shared" si="29"/>
        <v>-79305.111475119891</v>
      </c>
      <c r="O32" s="6">
        <f t="shared" si="29"/>
        <v>-71423.727498757537</v>
      </c>
      <c r="P32" s="6">
        <f t="shared" si="29"/>
        <v>-63470.170720088354</v>
      </c>
      <c r="Q32" s="6">
        <f t="shared" si="29"/>
        <v>-55443.747186118213</v>
      </c>
      <c r="R32" s="6">
        <f t="shared" si="29"/>
        <v>-47343.756285232928</v>
      </c>
      <c r="S32" s="6">
        <f t="shared" si="29"/>
        <v>-39169.490683302305</v>
      </c>
      <c r="T32" s="6">
        <f t="shared" si="29"/>
        <v>-30920.236259170473</v>
      </c>
      <c r="U32" s="6">
        <f t="shared" si="29"/>
        <v>-22595.27203952739</v>
      </c>
      <c r="V32" s="6">
        <f t="shared" si="29"/>
        <v>-14193.870133155295</v>
      </c>
      <c r="X32" s="3" t="s">
        <v>0</v>
      </c>
    </row>
    <row r="33" spans="1:24" s="3" customFormat="1" ht="12" customHeight="1" x14ac:dyDescent="0.25">
      <c r="A33" s="65" t="s">
        <v>15</v>
      </c>
      <c r="B33" s="12">
        <f>SUM(B27:B32)</f>
        <v>60770883.167999998</v>
      </c>
      <c r="C33" s="12">
        <f t="shared" ref="C33:V33" si="30">SUM(C27:C32)</f>
        <v>62003738.927142724</v>
      </c>
      <c r="D33" s="12">
        <f t="shared" si="30"/>
        <v>63241949.004459836</v>
      </c>
      <c r="E33" s="12">
        <f t="shared" si="30"/>
        <v>64487874.514312491</v>
      </c>
      <c r="F33" s="12">
        <f t="shared" si="30"/>
        <v>65752758.821216911</v>
      </c>
      <c r="G33" s="12">
        <f t="shared" si="30"/>
        <v>77004877.088261396</v>
      </c>
      <c r="H33" s="12">
        <f t="shared" si="30"/>
        <v>78527599.233880073</v>
      </c>
      <c r="I33" s="12">
        <f t="shared" si="30"/>
        <v>80079273.279945955</v>
      </c>
      <c r="J33" s="12">
        <f t="shared" si="30"/>
        <v>81660437.345630854</v>
      </c>
      <c r="K33" s="26">
        <f t="shared" si="30"/>
        <v>83271639.113983065</v>
      </c>
      <c r="L33" s="65" t="s">
        <v>15</v>
      </c>
      <c r="M33" s="12">
        <f t="shared" si="30"/>
        <v>84913435.987369806</v>
      </c>
      <c r="N33" s="12">
        <f t="shared" si="30"/>
        <v>86586395.244949326</v>
      </c>
      <c r="O33" s="12">
        <f t="shared" si="30"/>
        <v>88291094.202181444</v>
      </c>
      <c r="P33" s="12">
        <f t="shared" si="30"/>
        <v>90028120.372383207</v>
      </c>
      <c r="Q33" s="12">
        <f t="shared" si="30"/>
        <v>91798071.630336434</v>
      </c>
      <c r="R33" s="12">
        <f t="shared" si="30"/>
        <v>107599619.00419387</v>
      </c>
      <c r="S33" s="12">
        <f t="shared" si="30"/>
        <v>109719351.11679193</v>
      </c>
      <c r="T33" s="12">
        <f t="shared" si="30"/>
        <v>111879486.97259094</v>
      </c>
      <c r="U33" s="12">
        <f t="shared" si="30"/>
        <v>114080779.81124856</v>
      </c>
      <c r="V33" s="39">
        <f t="shared" si="30"/>
        <v>116323996.32593635</v>
      </c>
    </row>
    <row r="34" spans="1:24" s="19" customFormat="1" ht="16.899999999999999" customHeight="1" x14ac:dyDescent="0.2">
      <c r="A34" s="30" t="s">
        <v>7</v>
      </c>
      <c r="B34" s="31"/>
      <c r="K34" s="69"/>
      <c r="L34" s="30" t="s">
        <v>7</v>
      </c>
      <c r="V34" s="41"/>
    </row>
    <row r="35" spans="1:24" s="3" customFormat="1" ht="12" customHeight="1" x14ac:dyDescent="0.25">
      <c r="A35" s="16" t="s">
        <v>8</v>
      </c>
      <c r="B35" s="21">
        <f>SUM('bond calc.'!B26)</f>
        <v>-3690000</v>
      </c>
      <c r="C35" s="21">
        <f>SUM('bond calc.'!C26)</f>
        <v>-3608000</v>
      </c>
      <c r="D35" s="21">
        <f>SUM('bond calc.'!D26)</f>
        <v>-3526000</v>
      </c>
      <c r="E35" s="21">
        <f>SUM('bond calc.'!E26)</f>
        <v>-3444000</v>
      </c>
      <c r="F35" s="21">
        <f>SUM('bond calc.'!F26)</f>
        <v>-3362000</v>
      </c>
      <c r="G35" s="21">
        <f>SUM('bond calc.'!G26)</f>
        <v>-3280000</v>
      </c>
      <c r="H35" s="21">
        <f>SUM('bond calc.'!H26)</f>
        <v>-3198000</v>
      </c>
      <c r="I35" s="21">
        <f>SUM('bond calc.'!I26)</f>
        <v>-3116000</v>
      </c>
      <c r="J35" s="21">
        <f>SUM('bond calc.'!J26)</f>
        <v>-3034000</v>
      </c>
      <c r="K35" s="21">
        <f>SUM('bond calc.'!K26)</f>
        <v>-2952000</v>
      </c>
      <c r="L35" s="16" t="s">
        <v>8</v>
      </c>
      <c r="M35" s="11">
        <f>SUM('bond calc.'!B27)</f>
        <v>-2870000</v>
      </c>
      <c r="N35" s="11">
        <f>SUM('bond calc.'!C27)</f>
        <v>-2788000</v>
      </c>
      <c r="O35" s="11">
        <f>SUM('bond calc.'!D27)</f>
        <v>-2706000</v>
      </c>
      <c r="P35" s="11">
        <f>SUM('bond calc.'!E27)</f>
        <v>-2624000</v>
      </c>
      <c r="Q35" s="11">
        <f>SUM('bond calc.'!F27)</f>
        <v>-2542000</v>
      </c>
      <c r="R35" s="11">
        <f>SUM('bond calc.'!G27)</f>
        <v>-2460000</v>
      </c>
      <c r="S35" s="11">
        <f>SUM('bond calc.'!H27)</f>
        <v>-2378000</v>
      </c>
      <c r="T35" s="11">
        <f>SUM('bond calc.'!I27)</f>
        <v>-2296000</v>
      </c>
      <c r="U35" s="11">
        <f>SUM('bond calc.'!J27)</f>
        <v>-2214000</v>
      </c>
      <c r="V35" s="11">
        <f>SUM('bond calc.'!K27)</f>
        <v>-2132000</v>
      </c>
    </row>
    <row r="36" spans="1:24" s="3" customFormat="1" ht="12" customHeight="1" x14ac:dyDescent="0.25">
      <c r="A36" s="16" t="s">
        <v>181</v>
      </c>
      <c r="B36" s="11">
        <v>-5436000</v>
      </c>
      <c r="C36" s="4">
        <f t="shared" ref="C36:K36" si="31">SUM((B36*(1+C62)))</f>
        <v>-5544720</v>
      </c>
      <c r="D36" s="4">
        <f t="shared" si="31"/>
        <v>-5655614.4000000004</v>
      </c>
      <c r="E36" s="4">
        <f t="shared" si="31"/>
        <v>-5768726.6880000001</v>
      </c>
      <c r="F36" s="4">
        <f t="shared" si="31"/>
        <v>-5884101.2217600001</v>
      </c>
      <c r="G36" s="4">
        <f t="shared" si="31"/>
        <v>-6001783.2461951999</v>
      </c>
      <c r="H36" s="4">
        <f t="shared" si="31"/>
        <v>-6121818.9111191044</v>
      </c>
      <c r="I36" s="4">
        <f t="shared" si="31"/>
        <v>-6244255.289341487</v>
      </c>
      <c r="J36" s="4">
        <f t="shared" si="31"/>
        <v>-6369140.3951283172</v>
      </c>
      <c r="K36" s="54">
        <f t="shared" si="31"/>
        <v>-6496523.2030308833</v>
      </c>
      <c r="L36" s="16" t="s">
        <v>181</v>
      </c>
      <c r="M36" s="4">
        <f>SUM((K36*(1+M62)))</f>
        <v>-6626453.6670915009</v>
      </c>
      <c r="N36" s="4">
        <f t="shared" ref="N36:V36" si="32">SUM((M36*(1+N62)))</f>
        <v>-6758982.7404333306</v>
      </c>
      <c r="O36" s="4">
        <f t="shared" si="32"/>
        <v>-6894162.3952419972</v>
      </c>
      <c r="P36" s="4">
        <f t="shared" si="32"/>
        <v>-7032045.6431468371</v>
      </c>
      <c r="Q36" s="4">
        <f t="shared" si="32"/>
        <v>-7172686.5560097741</v>
      </c>
      <c r="R36" s="4">
        <f t="shared" si="32"/>
        <v>-7316140.2871299693</v>
      </c>
      <c r="S36" s="4">
        <f t="shared" si="32"/>
        <v>-7462463.0928725684</v>
      </c>
      <c r="T36" s="4">
        <f t="shared" si="32"/>
        <v>-7611712.3547300203</v>
      </c>
      <c r="U36" s="4">
        <f t="shared" si="32"/>
        <v>-7763946.6018246207</v>
      </c>
      <c r="V36" s="36">
        <f t="shared" si="32"/>
        <v>-7919225.5338611137</v>
      </c>
    </row>
    <row r="37" spans="1:24" s="3" customFormat="1" ht="12" customHeight="1" x14ac:dyDescent="0.25">
      <c r="A37" s="16" t="s">
        <v>38</v>
      </c>
      <c r="B37" s="11">
        <f t="shared" ref="B37:K37" si="33">SUM(B89)</f>
        <v>0</v>
      </c>
      <c r="C37" s="11">
        <f t="shared" si="33"/>
        <v>0</v>
      </c>
      <c r="D37" s="11">
        <f t="shared" si="33"/>
        <v>0</v>
      </c>
      <c r="E37" s="11">
        <f t="shared" si="33"/>
        <v>0</v>
      </c>
      <c r="F37" s="11">
        <f t="shared" si="33"/>
        <v>-115000</v>
      </c>
      <c r="G37" s="11">
        <f t="shared" si="33"/>
        <v>0</v>
      </c>
      <c r="H37" s="11">
        <f t="shared" si="33"/>
        <v>0</v>
      </c>
      <c r="I37" s="11">
        <f t="shared" si="33"/>
        <v>-13600</v>
      </c>
      <c r="J37" s="11">
        <f t="shared" si="33"/>
        <v>0</v>
      </c>
      <c r="K37" s="11">
        <f t="shared" si="33"/>
        <v>-115000</v>
      </c>
      <c r="L37" s="16" t="s">
        <v>38</v>
      </c>
      <c r="M37" s="11">
        <f t="shared" ref="M37:V37" si="34">SUM(M89)</f>
        <v>0</v>
      </c>
      <c r="N37" s="11">
        <f t="shared" si="34"/>
        <v>0</v>
      </c>
      <c r="O37" s="11">
        <f t="shared" si="34"/>
        <v>0</v>
      </c>
      <c r="P37" s="11">
        <f t="shared" si="34"/>
        <v>0</v>
      </c>
      <c r="Q37" s="11">
        <f t="shared" si="34"/>
        <v>-3253000</v>
      </c>
      <c r="R37" s="11">
        <f t="shared" si="34"/>
        <v>-13600</v>
      </c>
      <c r="S37" s="11">
        <f t="shared" si="34"/>
        <v>0</v>
      </c>
      <c r="T37" s="11">
        <f t="shared" si="34"/>
        <v>0</v>
      </c>
      <c r="U37" s="11">
        <f t="shared" si="34"/>
        <v>0</v>
      </c>
      <c r="V37" s="38">
        <f t="shared" si="34"/>
        <v>-929000</v>
      </c>
    </row>
    <row r="38" spans="1:24" s="3" customFormat="1" ht="15" customHeight="1" thickBot="1" x14ac:dyDescent="0.3">
      <c r="A38" s="65" t="s">
        <v>22</v>
      </c>
      <c r="B38" s="5">
        <f t="shared" ref="B38:K38" si="35">SUM(B33:B37)</f>
        <v>51644883.167999998</v>
      </c>
      <c r="C38" s="5">
        <f t="shared" si="35"/>
        <v>52851018.927142724</v>
      </c>
      <c r="D38" s="5">
        <f t="shared" si="35"/>
        <v>54060334.604459837</v>
      </c>
      <c r="E38" s="5">
        <f t="shared" si="35"/>
        <v>55275147.82631249</v>
      </c>
      <c r="F38" s="5">
        <f t="shared" si="35"/>
        <v>56391657.599456914</v>
      </c>
      <c r="G38" s="5">
        <f t="shared" si="35"/>
        <v>67723093.842066199</v>
      </c>
      <c r="H38" s="5">
        <f t="shared" si="35"/>
        <v>69207780.322760969</v>
      </c>
      <c r="I38" s="5">
        <f t="shared" si="35"/>
        <v>70705417.99060446</v>
      </c>
      <c r="J38" s="5">
        <f t="shared" si="35"/>
        <v>72257296.950502545</v>
      </c>
      <c r="K38" s="68">
        <f t="shared" si="35"/>
        <v>73708115.910952181</v>
      </c>
      <c r="L38" s="65" t="s">
        <v>22</v>
      </c>
      <c r="M38" s="5">
        <f t="shared" ref="M38:V38" si="36">SUM(M33:M37)</f>
        <v>75416982.320278302</v>
      </c>
      <c r="N38" s="5">
        <f t="shared" si="36"/>
        <v>77039412.504515991</v>
      </c>
      <c r="O38" s="5">
        <f t="shared" si="36"/>
        <v>78690931.806939453</v>
      </c>
      <c r="P38" s="5">
        <f t="shared" si="36"/>
        <v>80372074.729236364</v>
      </c>
      <c r="Q38" s="5">
        <f t="shared" si="36"/>
        <v>78830385.074326664</v>
      </c>
      <c r="R38" s="5">
        <f t="shared" si="36"/>
        <v>97809878.717063904</v>
      </c>
      <c r="S38" s="5">
        <f t="shared" si="36"/>
        <v>99878888.023919359</v>
      </c>
      <c r="T38" s="5">
        <f t="shared" si="36"/>
        <v>101971774.61786091</v>
      </c>
      <c r="U38" s="5">
        <f t="shared" si="36"/>
        <v>104102833.20942393</v>
      </c>
      <c r="V38" s="42">
        <f t="shared" si="36"/>
        <v>105343770.79207523</v>
      </c>
    </row>
    <row r="39" spans="1:24" s="3" customFormat="1" ht="19.899999999999999" customHeight="1" thickTop="1" x14ac:dyDescent="0.25">
      <c r="A39" s="189"/>
      <c r="B39" s="189"/>
      <c r="C39" s="189"/>
      <c r="D39" s="189"/>
      <c r="E39" s="189"/>
      <c r="F39" s="189"/>
      <c r="G39" s="189"/>
      <c r="H39" s="189"/>
      <c r="I39" s="189"/>
      <c r="J39" s="189"/>
      <c r="K39" s="189"/>
      <c r="L39" s="189"/>
      <c r="M39" s="189"/>
      <c r="N39" s="189"/>
      <c r="O39" s="189"/>
      <c r="P39" s="189"/>
      <c r="Q39" s="189"/>
      <c r="R39" s="189"/>
      <c r="S39" s="189"/>
      <c r="T39" s="189"/>
      <c r="U39" s="189"/>
      <c r="V39" s="189"/>
    </row>
    <row r="40" spans="1:24" s="1" customFormat="1" ht="15" customHeight="1" x14ac:dyDescent="0.2">
      <c r="A40" s="186" t="s">
        <v>27</v>
      </c>
      <c r="B40" s="187"/>
      <c r="C40" s="187"/>
      <c r="D40" s="187"/>
      <c r="E40" s="187"/>
      <c r="F40" s="187"/>
      <c r="G40" s="187"/>
      <c r="H40" s="187"/>
      <c r="I40" s="187"/>
      <c r="J40" s="187"/>
      <c r="K40" s="188"/>
      <c r="L40" s="186" t="s">
        <v>27</v>
      </c>
      <c r="M40" s="187"/>
      <c r="N40" s="187"/>
      <c r="O40" s="187"/>
      <c r="P40" s="187"/>
      <c r="Q40" s="187"/>
      <c r="R40" s="187"/>
      <c r="S40" s="187"/>
      <c r="T40" s="187"/>
      <c r="U40" s="187"/>
      <c r="V40" s="188"/>
      <c r="W40" s="2"/>
      <c r="X40" s="2"/>
    </row>
    <row r="41" spans="1:24" ht="12" customHeight="1" x14ac:dyDescent="0.2">
      <c r="A41" s="34" t="s">
        <v>21</v>
      </c>
      <c r="B41" s="11">
        <f>SUM(B18)</f>
        <v>58534831.679999992</v>
      </c>
      <c r="C41" s="11">
        <f t="shared" ref="C41:V41" si="37">SUM(C18)</f>
        <v>59898909.271427199</v>
      </c>
      <c r="D41" s="11">
        <f t="shared" si="37"/>
        <v>61097040.444598235</v>
      </c>
      <c r="E41" s="11">
        <f t="shared" si="37"/>
        <v>62148446.551124871</v>
      </c>
      <c r="F41" s="11">
        <f t="shared" si="37"/>
        <v>63161083.648329116</v>
      </c>
      <c r="G41" s="11">
        <f t="shared" si="37"/>
        <v>73872837.06145972</v>
      </c>
      <c r="H41" s="11">
        <f t="shared" si="37"/>
        <v>75194539.841223165</v>
      </c>
      <c r="I41" s="11">
        <f t="shared" si="37"/>
        <v>76527451.251930565</v>
      </c>
      <c r="J41" s="11">
        <f t="shared" si="37"/>
        <v>77871386.277828813</v>
      </c>
      <c r="K41" s="67">
        <f t="shared" si="37"/>
        <v>79226144.217781454</v>
      </c>
      <c r="L41" s="24" t="s">
        <v>21</v>
      </c>
      <c r="M41" s="11">
        <f t="shared" si="37"/>
        <v>80591508.013207823</v>
      </c>
      <c r="N41" s="11">
        <f t="shared" si="37"/>
        <v>81967243.551793322</v>
      </c>
      <c r="O41" s="11">
        <f t="shared" si="37"/>
        <v>83353098.946160436</v>
      </c>
      <c r="P41" s="11">
        <f t="shared" si="37"/>
        <v>84748803.786664948</v>
      </c>
      <c r="Q41" s="11">
        <f t="shared" si="37"/>
        <v>86154068.367453873</v>
      </c>
      <c r="R41" s="11">
        <f t="shared" si="37"/>
        <v>101466977.90884244</v>
      </c>
      <c r="S41" s="11">
        <f t="shared" si="37"/>
        <v>103189714.79216111</v>
      </c>
      <c r="T41" s="11">
        <f t="shared" si="37"/>
        <v>104926797.42263614</v>
      </c>
      <c r="U41" s="11">
        <f t="shared" si="37"/>
        <v>106677964.36314677</v>
      </c>
      <c r="V41" s="35">
        <f t="shared" si="37"/>
        <v>108442932.83503804</v>
      </c>
      <c r="W41" s="3"/>
      <c r="X41" s="3"/>
    </row>
    <row r="42" spans="1:24" s="3" customFormat="1" ht="12" customHeight="1" x14ac:dyDescent="0.25">
      <c r="A42" s="24" t="s">
        <v>22</v>
      </c>
      <c r="B42" s="4">
        <f>SUM(B38)</f>
        <v>51644883.167999998</v>
      </c>
      <c r="C42" s="4">
        <f t="shared" ref="C42:V42" si="38">SUM(C38)</f>
        <v>52851018.927142724</v>
      </c>
      <c r="D42" s="4">
        <f t="shared" si="38"/>
        <v>54060334.604459837</v>
      </c>
      <c r="E42" s="4">
        <f t="shared" si="38"/>
        <v>55275147.82631249</v>
      </c>
      <c r="F42" s="4">
        <f t="shared" si="38"/>
        <v>56391657.599456914</v>
      </c>
      <c r="G42" s="4">
        <f t="shared" si="38"/>
        <v>67723093.842066199</v>
      </c>
      <c r="H42" s="4">
        <f t="shared" si="38"/>
        <v>69207780.322760969</v>
      </c>
      <c r="I42" s="4">
        <f t="shared" si="38"/>
        <v>70705417.99060446</v>
      </c>
      <c r="J42" s="4">
        <f t="shared" si="38"/>
        <v>72257296.950502545</v>
      </c>
      <c r="K42" s="54">
        <f t="shared" si="38"/>
        <v>73708115.910952181</v>
      </c>
      <c r="L42" s="24" t="s">
        <v>22</v>
      </c>
      <c r="M42" s="4">
        <f t="shared" si="38"/>
        <v>75416982.320278302</v>
      </c>
      <c r="N42" s="4">
        <f t="shared" si="38"/>
        <v>77039412.504515991</v>
      </c>
      <c r="O42" s="4">
        <f t="shared" si="38"/>
        <v>78690931.806939453</v>
      </c>
      <c r="P42" s="4">
        <f t="shared" si="38"/>
        <v>80372074.729236364</v>
      </c>
      <c r="Q42" s="4">
        <f t="shared" si="38"/>
        <v>78830385.074326664</v>
      </c>
      <c r="R42" s="4">
        <f t="shared" si="38"/>
        <v>97809878.717063904</v>
      </c>
      <c r="S42" s="4">
        <f t="shared" si="38"/>
        <v>99878888.023919359</v>
      </c>
      <c r="T42" s="4">
        <f t="shared" si="38"/>
        <v>101971774.61786091</v>
      </c>
      <c r="U42" s="4">
        <f t="shared" si="38"/>
        <v>104102833.20942393</v>
      </c>
      <c r="V42" s="36">
        <f t="shared" si="38"/>
        <v>105343770.79207523</v>
      </c>
      <c r="W42" s="29"/>
      <c r="X42" s="29"/>
    </row>
    <row r="43" spans="1:24" s="29" customFormat="1" ht="18" customHeight="1" thickBot="1" x14ac:dyDescent="0.3">
      <c r="A43" s="65" t="s">
        <v>23</v>
      </c>
      <c r="B43" s="28">
        <f>SUM(B41-B42)</f>
        <v>6889948.5119999945</v>
      </c>
      <c r="C43" s="28">
        <f t="shared" ref="C43:V43" si="39">SUM(C41-C42)</f>
        <v>7047890.3442844748</v>
      </c>
      <c r="D43" s="28">
        <f t="shared" si="39"/>
        <v>7036705.8401383981</v>
      </c>
      <c r="E43" s="28">
        <f t="shared" si="39"/>
        <v>6873298.724812381</v>
      </c>
      <c r="F43" s="28">
        <f t="shared" si="39"/>
        <v>6769426.0488722026</v>
      </c>
      <c r="G43" s="28">
        <f t="shared" si="39"/>
        <v>6149743.2193935215</v>
      </c>
      <c r="H43" s="28">
        <f t="shared" si="39"/>
        <v>5986759.518462196</v>
      </c>
      <c r="I43" s="28">
        <f t="shared" si="39"/>
        <v>5822033.2613261044</v>
      </c>
      <c r="J43" s="28">
        <f t="shared" si="39"/>
        <v>5614089.327326268</v>
      </c>
      <c r="K43" s="28">
        <f t="shared" si="39"/>
        <v>5518028.3068292737</v>
      </c>
      <c r="L43" s="17" t="s">
        <v>132</v>
      </c>
      <c r="M43" s="28">
        <f t="shared" si="39"/>
        <v>5174525.6929295212</v>
      </c>
      <c r="N43" s="28">
        <f t="shared" si="39"/>
        <v>4927831.0472773314</v>
      </c>
      <c r="O43" s="28">
        <f t="shared" si="39"/>
        <v>4662167.1392209828</v>
      </c>
      <c r="P43" s="28">
        <f t="shared" si="39"/>
        <v>4376729.0574285835</v>
      </c>
      <c r="Q43" s="28">
        <f t="shared" si="39"/>
        <v>7323683.2931272089</v>
      </c>
      <c r="R43" s="28">
        <f t="shared" si="39"/>
        <v>3657099.1917785406</v>
      </c>
      <c r="S43" s="28">
        <f t="shared" si="39"/>
        <v>3310826.7682417482</v>
      </c>
      <c r="T43" s="28">
        <f t="shared" si="39"/>
        <v>2955022.8047752231</v>
      </c>
      <c r="U43" s="28">
        <f t="shared" si="39"/>
        <v>2575131.1537228376</v>
      </c>
      <c r="V43" s="37">
        <f t="shared" si="39"/>
        <v>3099162.0429628044</v>
      </c>
    </row>
    <row r="44" spans="1:24" s="59" customFormat="1" ht="16.149999999999999" customHeight="1" thickTop="1" x14ac:dyDescent="0.25">
      <c r="A44" s="55" t="s">
        <v>171</v>
      </c>
      <c r="B44" s="56">
        <f>SUM(B43)</f>
        <v>6889948.5119999945</v>
      </c>
      <c r="C44" s="57">
        <f>SUM(B44+C43)</f>
        <v>13937838.856284469</v>
      </c>
      <c r="D44" s="57">
        <f t="shared" ref="D44:V44" si="40">SUM(C44+D43)</f>
        <v>20974544.696422867</v>
      </c>
      <c r="E44" s="57">
        <f t="shared" si="40"/>
        <v>27847843.421235248</v>
      </c>
      <c r="F44" s="57">
        <f t="shared" si="40"/>
        <v>34617269.470107451</v>
      </c>
      <c r="G44" s="57">
        <f t="shared" si="40"/>
        <v>40767012.689500973</v>
      </c>
      <c r="H44" s="57">
        <f t="shared" si="40"/>
        <v>46753772.207963169</v>
      </c>
      <c r="I44" s="57">
        <f t="shared" si="40"/>
        <v>52575805.469289273</v>
      </c>
      <c r="J44" s="57">
        <f t="shared" si="40"/>
        <v>58189894.796615541</v>
      </c>
      <c r="K44" s="70">
        <f t="shared" si="40"/>
        <v>63707923.103444815</v>
      </c>
      <c r="L44" s="55" t="s">
        <v>171</v>
      </c>
      <c r="M44" s="57">
        <f>SUM(K44+M43)</f>
        <v>68882448.796374336</v>
      </c>
      <c r="N44" s="57">
        <f t="shared" si="40"/>
        <v>73810279.843651667</v>
      </c>
      <c r="O44" s="57">
        <f t="shared" si="40"/>
        <v>78472446.98287265</v>
      </c>
      <c r="P44" s="57">
        <f t="shared" si="40"/>
        <v>82849176.040301234</v>
      </c>
      <c r="Q44" s="57">
        <f t="shared" si="40"/>
        <v>90172859.333428442</v>
      </c>
      <c r="R44" s="57">
        <f t="shared" si="40"/>
        <v>93829958.525206983</v>
      </c>
      <c r="S44" s="57">
        <f t="shared" si="40"/>
        <v>97140785.293448731</v>
      </c>
      <c r="T44" s="57">
        <f t="shared" si="40"/>
        <v>100095808.09822395</v>
      </c>
      <c r="U44" s="57">
        <f t="shared" si="40"/>
        <v>102670939.25194679</v>
      </c>
      <c r="V44" s="58">
        <f t="shared" si="40"/>
        <v>105770101.2949096</v>
      </c>
    </row>
    <row r="45" spans="1:24" s="59" customFormat="1" ht="16.149999999999999" customHeight="1" x14ac:dyDescent="0.25">
      <c r="A45" s="72"/>
      <c r="B45" s="56"/>
      <c r="C45" s="57" t="s">
        <v>0</v>
      </c>
      <c r="D45" s="57"/>
      <c r="E45" s="57"/>
      <c r="F45" s="57"/>
      <c r="G45" s="57"/>
      <c r="H45" s="57"/>
      <c r="I45" s="57"/>
      <c r="J45" s="57"/>
      <c r="K45" s="70" t="s">
        <v>0</v>
      </c>
      <c r="L45" s="72"/>
      <c r="M45" s="57"/>
      <c r="N45" s="57"/>
      <c r="O45" s="57"/>
      <c r="P45" s="57"/>
      <c r="Q45" s="57"/>
      <c r="R45" s="57"/>
      <c r="S45" s="57"/>
      <c r="T45" s="57"/>
      <c r="U45" s="57"/>
      <c r="V45" s="70"/>
    </row>
    <row r="46" spans="1:24" s="59" customFormat="1" ht="16.149999999999999" customHeight="1" x14ac:dyDescent="0.25">
      <c r="A46" s="72"/>
      <c r="B46" s="56"/>
      <c r="C46" s="57"/>
      <c r="D46" s="57"/>
      <c r="E46" s="57"/>
      <c r="F46" s="57"/>
      <c r="G46" s="57"/>
      <c r="H46" s="57"/>
      <c r="I46" s="57"/>
      <c r="J46" s="57"/>
      <c r="K46" s="70"/>
      <c r="L46" s="72"/>
      <c r="M46" s="57"/>
      <c r="N46" s="57"/>
      <c r="O46" s="57"/>
      <c r="P46" s="57"/>
      <c r="Q46" s="57"/>
      <c r="R46" s="57"/>
      <c r="S46" s="57"/>
      <c r="T46" s="57"/>
      <c r="U46" s="57"/>
      <c r="V46" s="70"/>
    </row>
    <row r="47" spans="1:24" s="59" customFormat="1" ht="16.149999999999999" customHeight="1" x14ac:dyDescent="0.25">
      <c r="A47" s="72"/>
      <c r="B47" s="56"/>
      <c r="C47" s="57"/>
      <c r="D47" s="57"/>
      <c r="E47" s="57"/>
      <c r="F47" s="57"/>
      <c r="G47" s="57"/>
      <c r="H47" s="57"/>
      <c r="I47" s="57"/>
      <c r="J47" s="57"/>
      <c r="K47" s="70"/>
      <c r="L47" s="72"/>
      <c r="M47" s="57"/>
      <c r="N47" s="57"/>
      <c r="O47" s="57"/>
      <c r="P47" s="57"/>
      <c r="Q47" s="57"/>
      <c r="R47" s="57"/>
      <c r="S47" s="57"/>
      <c r="T47" s="57"/>
      <c r="U47" s="57"/>
      <c r="V47" s="70"/>
    </row>
    <row r="48" spans="1:24" s="3" customFormat="1" ht="15" customHeight="1" x14ac:dyDescent="0.2">
      <c r="A48" s="2"/>
      <c r="B48" s="6"/>
      <c r="L48" s="2"/>
      <c r="W48" s="2"/>
      <c r="X48" s="2"/>
    </row>
    <row r="49" spans="1:24" ht="14.45" customHeight="1" x14ac:dyDescent="0.2">
      <c r="A49" s="140" t="s">
        <v>137</v>
      </c>
      <c r="B49" s="73"/>
      <c r="C49" s="74"/>
      <c r="D49" s="74"/>
      <c r="E49" s="74"/>
      <c r="F49" s="74"/>
      <c r="G49" s="74"/>
      <c r="H49" s="74"/>
      <c r="I49" s="74"/>
      <c r="J49" s="74"/>
      <c r="K49" s="75"/>
      <c r="L49" s="140" t="s">
        <v>137</v>
      </c>
      <c r="M49" s="74"/>
      <c r="N49" s="74"/>
      <c r="O49" s="74"/>
      <c r="P49" s="74"/>
      <c r="Q49" s="74"/>
      <c r="R49" s="74"/>
      <c r="S49" s="74"/>
      <c r="T49" s="74"/>
      <c r="U49" s="74"/>
      <c r="V49" s="75"/>
      <c r="W49" s="22"/>
      <c r="X49" s="22"/>
    </row>
    <row r="50" spans="1:24" s="3" customFormat="1" ht="12" customHeight="1" x14ac:dyDescent="0.25">
      <c r="A50" s="76" t="s">
        <v>121</v>
      </c>
      <c r="B50" s="77">
        <v>17800000</v>
      </c>
      <c r="C50" s="77">
        <f>SUM(B50*1.02)</f>
        <v>18156000</v>
      </c>
      <c r="D50" s="77">
        <f>SUM(C50*1.02)</f>
        <v>18519120</v>
      </c>
      <c r="E50" s="77">
        <f t="shared" ref="E50:V50" si="41">SUM(D50*1.02)</f>
        <v>18889502.399999999</v>
      </c>
      <c r="F50" s="77">
        <f t="shared" si="41"/>
        <v>19267292.447999999</v>
      </c>
      <c r="G50" s="77">
        <f t="shared" si="41"/>
        <v>19652638.29696</v>
      </c>
      <c r="H50" s="77">
        <f t="shared" si="41"/>
        <v>20045691.062899202</v>
      </c>
      <c r="I50" s="77">
        <f t="shared" si="41"/>
        <v>20446604.884157188</v>
      </c>
      <c r="J50" s="77">
        <f t="shared" si="41"/>
        <v>20855536.981840331</v>
      </c>
      <c r="K50" s="78">
        <f t="shared" si="41"/>
        <v>21272647.72147714</v>
      </c>
      <c r="L50" s="76" t="s">
        <v>121</v>
      </c>
      <c r="M50" s="54">
        <f>SUM(K50*1.02)</f>
        <v>21698100.675906684</v>
      </c>
      <c r="N50" s="54">
        <f t="shared" si="41"/>
        <v>22132062.689424817</v>
      </c>
      <c r="O50" s="54">
        <f t="shared" si="41"/>
        <v>22574703.943213314</v>
      </c>
      <c r="P50" s="54">
        <f t="shared" si="41"/>
        <v>23026198.022077579</v>
      </c>
      <c r="Q50" s="54">
        <f t="shared" si="41"/>
        <v>23486721.982519131</v>
      </c>
      <c r="R50" s="54">
        <f t="shared" si="41"/>
        <v>23956456.422169514</v>
      </c>
      <c r="S50" s="54">
        <f t="shared" si="41"/>
        <v>24435585.550612904</v>
      </c>
      <c r="T50" s="54">
        <f t="shared" si="41"/>
        <v>24924297.261625163</v>
      </c>
      <c r="U50" s="54">
        <f t="shared" si="41"/>
        <v>25422783.206857666</v>
      </c>
      <c r="V50" s="36">
        <f t="shared" si="41"/>
        <v>25931238.870994821</v>
      </c>
    </row>
    <row r="51" spans="1:24" s="3" customFormat="1" ht="12" customHeight="1" x14ac:dyDescent="0.2">
      <c r="A51" s="76" t="s">
        <v>122</v>
      </c>
      <c r="B51" s="79">
        <v>3.39</v>
      </c>
      <c r="C51" s="79">
        <f>SUM(B51)</f>
        <v>3.39</v>
      </c>
      <c r="D51" s="79">
        <f t="shared" ref="D51:F51" si="42">SUM(C51)</f>
        <v>3.39</v>
      </c>
      <c r="E51" s="79">
        <f t="shared" si="42"/>
        <v>3.39</v>
      </c>
      <c r="F51" s="79">
        <f t="shared" si="42"/>
        <v>3.39</v>
      </c>
      <c r="G51" s="79">
        <f>SUM(F51*1.15)</f>
        <v>3.8984999999999999</v>
      </c>
      <c r="H51" s="79">
        <f>SUM(G51)</f>
        <v>3.8984999999999999</v>
      </c>
      <c r="I51" s="79">
        <f t="shared" ref="I51:K51" si="43">SUM(H51)</f>
        <v>3.8984999999999999</v>
      </c>
      <c r="J51" s="79">
        <f t="shared" si="43"/>
        <v>3.8984999999999999</v>
      </c>
      <c r="K51" s="80">
        <f t="shared" si="43"/>
        <v>3.8984999999999999</v>
      </c>
      <c r="L51" s="76" t="s">
        <v>122</v>
      </c>
      <c r="M51" s="89">
        <f>SUM(K51)</f>
        <v>3.8984999999999999</v>
      </c>
      <c r="N51" s="89">
        <f>SUM(M51)</f>
        <v>3.8984999999999999</v>
      </c>
      <c r="O51" s="89">
        <f t="shared" ref="O51:Q51" si="44">SUM(N51)</f>
        <v>3.8984999999999999</v>
      </c>
      <c r="P51" s="89">
        <f t="shared" si="44"/>
        <v>3.8984999999999999</v>
      </c>
      <c r="Q51" s="89">
        <f t="shared" si="44"/>
        <v>3.8984999999999999</v>
      </c>
      <c r="R51" s="89">
        <f>SUM(Q51*1.15)</f>
        <v>4.4832749999999999</v>
      </c>
      <c r="S51" s="89">
        <f>SUM(R51)</f>
        <v>4.4832749999999999</v>
      </c>
      <c r="T51" s="89">
        <f t="shared" ref="T51:V51" si="45">SUM(S51)</f>
        <v>4.4832749999999999</v>
      </c>
      <c r="U51" s="89">
        <f t="shared" si="45"/>
        <v>4.4832749999999999</v>
      </c>
      <c r="V51" s="90">
        <f t="shared" si="45"/>
        <v>4.4832749999999999</v>
      </c>
      <c r="W51" s="23"/>
      <c r="X51" s="23"/>
    </row>
    <row r="52" spans="1:24" s="3" customFormat="1" ht="12" customHeight="1" x14ac:dyDescent="0.2">
      <c r="A52" s="76" t="s">
        <v>124</v>
      </c>
      <c r="B52" s="50">
        <v>0.73</v>
      </c>
      <c r="C52" s="50">
        <f>B52</f>
        <v>0.73</v>
      </c>
      <c r="D52" s="50">
        <f t="shared" ref="D52:K53" si="46">C52</f>
        <v>0.73</v>
      </c>
      <c r="E52" s="50">
        <f t="shared" si="46"/>
        <v>0.73</v>
      </c>
      <c r="F52" s="50">
        <f t="shared" si="46"/>
        <v>0.73</v>
      </c>
      <c r="G52" s="50">
        <f t="shared" si="46"/>
        <v>0.73</v>
      </c>
      <c r="H52" s="50">
        <f t="shared" si="46"/>
        <v>0.73</v>
      </c>
      <c r="I52" s="50">
        <f t="shared" si="46"/>
        <v>0.73</v>
      </c>
      <c r="J52" s="50">
        <f t="shared" si="46"/>
        <v>0.73</v>
      </c>
      <c r="K52" s="50">
        <f t="shared" si="46"/>
        <v>0.73</v>
      </c>
      <c r="L52" s="76" t="s">
        <v>124</v>
      </c>
      <c r="M52" s="50">
        <f>K52</f>
        <v>0.73</v>
      </c>
      <c r="N52" s="50">
        <f>M52</f>
        <v>0.73</v>
      </c>
      <c r="O52" s="50">
        <f t="shared" ref="O52:V53" si="47">N52</f>
        <v>0.73</v>
      </c>
      <c r="P52" s="50">
        <f t="shared" si="47"/>
        <v>0.73</v>
      </c>
      <c r="Q52" s="50">
        <f t="shared" si="47"/>
        <v>0.73</v>
      </c>
      <c r="R52" s="50">
        <f t="shared" si="47"/>
        <v>0.73</v>
      </c>
      <c r="S52" s="50">
        <f t="shared" si="47"/>
        <v>0.73</v>
      </c>
      <c r="T52" s="50">
        <f t="shared" si="47"/>
        <v>0.73</v>
      </c>
      <c r="U52" s="50">
        <f t="shared" si="47"/>
        <v>0.73</v>
      </c>
      <c r="V52" s="50">
        <f t="shared" si="47"/>
        <v>0.73</v>
      </c>
      <c r="W52" s="23"/>
      <c r="X52" s="23"/>
    </row>
    <row r="53" spans="1:24" s="3" customFormat="1" ht="12" customHeight="1" x14ac:dyDescent="0.2">
      <c r="A53" s="76" t="s">
        <v>123</v>
      </c>
      <c r="B53" s="50">
        <v>0.27</v>
      </c>
      <c r="C53" s="50">
        <f>B53</f>
        <v>0.27</v>
      </c>
      <c r="D53" s="50">
        <f t="shared" si="46"/>
        <v>0.27</v>
      </c>
      <c r="E53" s="50">
        <f t="shared" si="46"/>
        <v>0.27</v>
      </c>
      <c r="F53" s="50">
        <f t="shared" si="46"/>
        <v>0.27</v>
      </c>
      <c r="G53" s="50">
        <f t="shared" si="46"/>
        <v>0.27</v>
      </c>
      <c r="H53" s="50">
        <f t="shared" si="46"/>
        <v>0.27</v>
      </c>
      <c r="I53" s="50">
        <f t="shared" si="46"/>
        <v>0.27</v>
      </c>
      <c r="J53" s="50">
        <f t="shared" si="46"/>
        <v>0.27</v>
      </c>
      <c r="K53" s="50">
        <f t="shared" si="46"/>
        <v>0.27</v>
      </c>
      <c r="L53" s="76" t="s">
        <v>123</v>
      </c>
      <c r="M53" s="50">
        <f>K53</f>
        <v>0.27</v>
      </c>
      <c r="N53" s="50">
        <f>M53</f>
        <v>0.27</v>
      </c>
      <c r="O53" s="50">
        <f t="shared" si="47"/>
        <v>0.27</v>
      </c>
      <c r="P53" s="50">
        <f t="shared" si="47"/>
        <v>0.27</v>
      </c>
      <c r="Q53" s="50">
        <f t="shared" si="47"/>
        <v>0.27</v>
      </c>
      <c r="R53" s="50">
        <f t="shared" si="47"/>
        <v>0.27</v>
      </c>
      <c r="S53" s="50">
        <f t="shared" si="47"/>
        <v>0.27</v>
      </c>
      <c r="T53" s="50">
        <f t="shared" si="47"/>
        <v>0.27</v>
      </c>
      <c r="U53" s="50">
        <f t="shared" si="47"/>
        <v>0.27</v>
      </c>
      <c r="V53" s="50">
        <f t="shared" si="47"/>
        <v>0.27</v>
      </c>
      <c r="W53" s="23"/>
      <c r="X53" s="23"/>
    </row>
    <row r="54" spans="1:24" s="23" customFormat="1" ht="13.9" customHeight="1" x14ac:dyDescent="0.2">
      <c r="A54" s="81" t="s">
        <v>125</v>
      </c>
      <c r="B54" s="50">
        <v>0.76</v>
      </c>
      <c r="C54" s="51">
        <f>SUM(B54*1.03)</f>
        <v>0.78280000000000005</v>
      </c>
      <c r="D54" s="51">
        <f>SUM(C54*1.03)</f>
        <v>0.80628400000000011</v>
      </c>
      <c r="E54" s="51">
        <f>SUM(D54*1.02)</f>
        <v>0.82240968000000014</v>
      </c>
      <c r="F54" s="51">
        <f>SUM(E54*1.02)</f>
        <v>0.83885787360000019</v>
      </c>
      <c r="G54" s="51">
        <f>SUM(F54*1.02)</f>
        <v>0.85563503107200023</v>
      </c>
      <c r="H54" s="51">
        <f>SUM(G54*1.01)</f>
        <v>0.86419138138272023</v>
      </c>
      <c r="I54" s="51">
        <f t="shared" ref="I54:K54" si="48">SUM(H54*1.01)</f>
        <v>0.8728332951965474</v>
      </c>
      <c r="J54" s="51">
        <f t="shared" si="48"/>
        <v>0.88156162814851291</v>
      </c>
      <c r="K54" s="47">
        <f t="shared" si="48"/>
        <v>0.89037724442999799</v>
      </c>
      <c r="L54" s="81" t="s">
        <v>125</v>
      </c>
      <c r="M54" s="51">
        <f>SUM(K54*1.01)</f>
        <v>0.89928101687429796</v>
      </c>
      <c r="N54" s="51">
        <f>SUM(M54*1.01)</f>
        <v>0.90827382704304094</v>
      </c>
      <c r="O54" s="51">
        <f>SUM(N54*1.01)</f>
        <v>0.91735656531347132</v>
      </c>
      <c r="P54" s="51">
        <f t="shared" ref="P54:V54" si="49">SUM(O54*1.01)</f>
        <v>0.92653013096660608</v>
      </c>
      <c r="Q54" s="51">
        <f t="shared" si="49"/>
        <v>0.93579543227627215</v>
      </c>
      <c r="R54" s="51">
        <f t="shared" si="49"/>
        <v>0.94515338659903492</v>
      </c>
      <c r="S54" s="51">
        <f t="shared" si="49"/>
        <v>0.95460492046502532</v>
      </c>
      <c r="T54" s="51">
        <f t="shared" si="49"/>
        <v>0.96415096966967562</v>
      </c>
      <c r="U54" s="51">
        <f t="shared" si="49"/>
        <v>0.97379247936637237</v>
      </c>
      <c r="V54" s="47">
        <f t="shared" si="49"/>
        <v>0.98353040416003612</v>
      </c>
    </row>
    <row r="55" spans="1:24" s="23" customFormat="1" ht="13.9" customHeight="1" x14ac:dyDescent="0.2">
      <c r="A55" s="81" t="s">
        <v>126</v>
      </c>
      <c r="B55" s="50">
        <v>0.24</v>
      </c>
      <c r="C55" s="51">
        <f t="shared" ref="C55:K55" si="50">SUM(1-C54)</f>
        <v>0.21719999999999995</v>
      </c>
      <c r="D55" s="51">
        <f t="shared" si="50"/>
        <v>0.19371599999999989</v>
      </c>
      <c r="E55" s="51">
        <f t="shared" si="50"/>
        <v>0.17759031999999986</v>
      </c>
      <c r="F55" s="51">
        <f t="shared" si="50"/>
        <v>0.16114212639999981</v>
      </c>
      <c r="G55" s="51">
        <f t="shared" si="50"/>
        <v>0.14436496892799977</v>
      </c>
      <c r="H55" s="51">
        <f t="shared" si="50"/>
        <v>0.13580861861727977</v>
      </c>
      <c r="I55" s="51">
        <f t="shared" si="50"/>
        <v>0.1271667048034526</v>
      </c>
      <c r="J55" s="51">
        <f t="shared" si="50"/>
        <v>0.11843837185148709</v>
      </c>
      <c r="K55" s="47">
        <f t="shared" si="50"/>
        <v>0.10962275557000201</v>
      </c>
      <c r="L55" s="81" t="s">
        <v>126</v>
      </c>
      <c r="M55" s="51">
        <f t="shared" ref="M55:V55" si="51">SUM(1-M54)</f>
        <v>0.10071898312570204</v>
      </c>
      <c r="N55" s="51">
        <f t="shared" si="51"/>
        <v>9.1726172956959062E-2</v>
      </c>
      <c r="O55" s="51">
        <f t="shared" si="51"/>
        <v>8.2643434686528683E-2</v>
      </c>
      <c r="P55" s="51">
        <f t="shared" si="51"/>
        <v>7.346986903339392E-2</v>
      </c>
      <c r="Q55" s="51">
        <f t="shared" si="51"/>
        <v>6.4204567723727846E-2</v>
      </c>
      <c r="R55" s="51">
        <f t="shared" si="51"/>
        <v>5.4846613400965083E-2</v>
      </c>
      <c r="S55" s="51">
        <f t="shared" si="51"/>
        <v>4.5395079534974681E-2</v>
      </c>
      <c r="T55" s="51">
        <f t="shared" si="51"/>
        <v>3.5849030330324383E-2</v>
      </c>
      <c r="U55" s="51">
        <f t="shared" si="51"/>
        <v>2.6207520633627635E-2</v>
      </c>
      <c r="V55" s="47">
        <f t="shared" si="51"/>
        <v>1.646959583996388E-2</v>
      </c>
      <c r="W55" s="19"/>
      <c r="X55" s="19"/>
    </row>
    <row r="56" spans="1:24" s="23" customFormat="1" ht="13.9" customHeight="1" x14ac:dyDescent="0.2">
      <c r="A56" s="76" t="s">
        <v>127</v>
      </c>
      <c r="B56" s="50">
        <v>0.2</v>
      </c>
      <c r="C56" s="50">
        <f>SUM(B56)</f>
        <v>0.2</v>
      </c>
      <c r="D56" s="50">
        <f t="shared" ref="D56:K57" si="52">SUM(C56)</f>
        <v>0.2</v>
      </c>
      <c r="E56" s="50">
        <f t="shared" si="52"/>
        <v>0.2</v>
      </c>
      <c r="F56" s="50">
        <f t="shared" si="52"/>
        <v>0.2</v>
      </c>
      <c r="G56" s="50">
        <f t="shared" si="52"/>
        <v>0.2</v>
      </c>
      <c r="H56" s="50">
        <f t="shared" si="52"/>
        <v>0.2</v>
      </c>
      <c r="I56" s="50">
        <f t="shared" si="52"/>
        <v>0.2</v>
      </c>
      <c r="J56" s="50">
        <f t="shared" si="52"/>
        <v>0.2</v>
      </c>
      <c r="K56" s="49">
        <f t="shared" si="52"/>
        <v>0.2</v>
      </c>
      <c r="L56" s="76" t="s">
        <v>127</v>
      </c>
      <c r="M56" s="50">
        <f>SUM(K56)</f>
        <v>0.2</v>
      </c>
      <c r="N56" s="50">
        <f>SUM(M56)</f>
        <v>0.2</v>
      </c>
      <c r="O56" s="50">
        <f t="shared" ref="O56:V57" si="53">SUM(N56)</f>
        <v>0.2</v>
      </c>
      <c r="P56" s="50">
        <f t="shared" si="53"/>
        <v>0.2</v>
      </c>
      <c r="Q56" s="50">
        <f t="shared" si="53"/>
        <v>0.2</v>
      </c>
      <c r="R56" s="50">
        <f t="shared" si="53"/>
        <v>0.2</v>
      </c>
      <c r="S56" s="50">
        <f t="shared" si="53"/>
        <v>0.2</v>
      </c>
      <c r="T56" s="50">
        <f t="shared" si="53"/>
        <v>0.2</v>
      </c>
      <c r="U56" s="50">
        <f t="shared" si="53"/>
        <v>0.2</v>
      </c>
      <c r="V56" s="50">
        <f t="shared" si="53"/>
        <v>0.2</v>
      </c>
      <c r="W56" s="19"/>
      <c r="X56" s="19"/>
    </row>
    <row r="57" spans="1:24" s="23" customFormat="1" ht="13.9" customHeight="1" x14ac:dyDescent="0.2">
      <c r="A57" s="76" t="s">
        <v>128</v>
      </c>
      <c r="B57" s="50">
        <v>0.4</v>
      </c>
      <c r="C57" s="50">
        <f>SUM(B57)</f>
        <v>0.4</v>
      </c>
      <c r="D57" s="50">
        <f t="shared" si="52"/>
        <v>0.4</v>
      </c>
      <c r="E57" s="50">
        <f t="shared" si="52"/>
        <v>0.4</v>
      </c>
      <c r="F57" s="50">
        <f t="shared" si="52"/>
        <v>0.4</v>
      </c>
      <c r="G57" s="50">
        <f t="shared" si="52"/>
        <v>0.4</v>
      </c>
      <c r="H57" s="50">
        <f t="shared" si="52"/>
        <v>0.4</v>
      </c>
      <c r="I57" s="50">
        <f t="shared" si="52"/>
        <v>0.4</v>
      </c>
      <c r="J57" s="50">
        <f t="shared" si="52"/>
        <v>0.4</v>
      </c>
      <c r="K57" s="50">
        <f t="shared" si="52"/>
        <v>0.4</v>
      </c>
      <c r="L57" s="76" t="s">
        <v>128</v>
      </c>
      <c r="M57" s="50">
        <f>SUM(K57)</f>
        <v>0.4</v>
      </c>
      <c r="N57" s="50">
        <f>SUM(M57)</f>
        <v>0.4</v>
      </c>
      <c r="O57" s="50">
        <f t="shared" si="53"/>
        <v>0.4</v>
      </c>
      <c r="P57" s="50">
        <f t="shared" si="53"/>
        <v>0.4</v>
      </c>
      <c r="Q57" s="50">
        <f t="shared" si="53"/>
        <v>0.4</v>
      </c>
      <c r="R57" s="50">
        <f t="shared" si="53"/>
        <v>0.4</v>
      </c>
      <c r="S57" s="50">
        <f t="shared" si="53"/>
        <v>0.4</v>
      </c>
      <c r="T57" s="50">
        <f t="shared" si="53"/>
        <v>0.4</v>
      </c>
      <c r="U57" s="50">
        <f t="shared" si="53"/>
        <v>0.4</v>
      </c>
      <c r="V57" s="50">
        <f t="shared" si="53"/>
        <v>0.4</v>
      </c>
      <c r="W57" s="19"/>
      <c r="X57" s="19"/>
    </row>
    <row r="58" spans="1:24" s="23" customFormat="1" ht="13.9" customHeight="1" x14ac:dyDescent="0.2">
      <c r="A58" s="82" t="s">
        <v>170</v>
      </c>
      <c r="B58" s="83">
        <v>1</v>
      </c>
      <c r="C58" s="83">
        <f>B58</f>
        <v>1</v>
      </c>
      <c r="D58" s="83">
        <f>C58</f>
        <v>1</v>
      </c>
      <c r="E58" s="83">
        <f t="shared" ref="E58:J58" si="54">D58</f>
        <v>1</v>
      </c>
      <c r="F58" s="83">
        <f t="shared" si="54"/>
        <v>1</v>
      </c>
      <c r="G58" s="83">
        <f t="shared" si="54"/>
        <v>1</v>
      </c>
      <c r="H58" s="83">
        <f t="shared" si="54"/>
        <v>1</v>
      </c>
      <c r="I58" s="83">
        <f t="shared" si="54"/>
        <v>1</v>
      </c>
      <c r="J58" s="83">
        <f t="shared" si="54"/>
        <v>1</v>
      </c>
      <c r="K58" s="84">
        <v>1</v>
      </c>
      <c r="L58" s="82" t="s">
        <v>170</v>
      </c>
      <c r="M58" s="52">
        <f>K58</f>
        <v>1</v>
      </c>
      <c r="N58" s="52">
        <f>M58</f>
        <v>1</v>
      </c>
      <c r="O58" s="52">
        <f t="shared" ref="O58:V59" si="55">N58</f>
        <v>1</v>
      </c>
      <c r="P58" s="52">
        <f t="shared" si="55"/>
        <v>1</v>
      </c>
      <c r="Q58" s="52">
        <f t="shared" si="55"/>
        <v>1</v>
      </c>
      <c r="R58" s="52">
        <f t="shared" si="55"/>
        <v>1</v>
      </c>
      <c r="S58" s="52">
        <f t="shared" si="55"/>
        <v>1</v>
      </c>
      <c r="T58" s="52">
        <f t="shared" si="55"/>
        <v>1</v>
      </c>
      <c r="U58" s="52">
        <f t="shared" si="55"/>
        <v>1</v>
      </c>
      <c r="V58" s="52">
        <f t="shared" si="55"/>
        <v>1</v>
      </c>
      <c r="W58" s="19"/>
      <c r="X58" s="19"/>
    </row>
    <row r="59" spans="1:24" s="19" customFormat="1" ht="13.9" customHeight="1" x14ac:dyDescent="0.2">
      <c r="A59" s="82" t="s">
        <v>129</v>
      </c>
      <c r="B59" s="83">
        <v>3</v>
      </c>
      <c r="C59" s="83">
        <f>B59</f>
        <v>3</v>
      </c>
      <c r="D59" s="83">
        <f t="shared" ref="D59:K59" si="56">C59</f>
        <v>3</v>
      </c>
      <c r="E59" s="83">
        <f t="shared" si="56"/>
        <v>3</v>
      </c>
      <c r="F59" s="83">
        <f t="shared" si="56"/>
        <v>3</v>
      </c>
      <c r="G59" s="83">
        <f t="shared" si="56"/>
        <v>3</v>
      </c>
      <c r="H59" s="83">
        <f t="shared" si="56"/>
        <v>3</v>
      </c>
      <c r="I59" s="83">
        <f t="shared" si="56"/>
        <v>3</v>
      </c>
      <c r="J59" s="83">
        <f t="shared" si="56"/>
        <v>3</v>
      </c>
      <c r="K59" s="83">
        <f t="shared" si="56"/>
        <v>3</v>
      </c>
      <c r="L59" s="82" t="s">
        <v>129</v>
      </c>
      <c r="M59" s="91">
        <f>K59</f>
        <v>3</v>
      </c>
      <c r="N59" s="91">
        <f>M59</f>
        <v>3</v>
      </c>
      <c r="O59" s="91">
        <f t="shared" si="55"/>
        <v>3</v>
      </c>
      <c r="P59" s="91">
        <f t="shared" si="55"/>
        <v>3</v>
      </c>
      <c r="Q59" s="91">
        <f t="shared" si="55"/>
        <v>3</v>
      </c>
      <c r="R59" s="91">
        <f t="shared" si="55"/>
        <v>3</v>
      </c>
      <c r="S59" s="91">
        <f t="shared" si="55"/>
        <v>3</v>
      </c>
      <c r="T59" s="91">
        <f t="shared" si="55"/>
        <v>3</v>
      </c>
      <c r="U59" s="91">
        <f t="shared" si="55"/>
        <v>3</v>
      </c>
      <c r="V59" s="91">
        <f t="shared" si="55"/>
        <v>3</v>
      </c>
      <c r="W59" s="23"/>
      <c r="X59" s="23"/>
    </row>
    <row r="60" spans="1:24" s="19" customFormat="1" ht="13.9" customHeight="1" x14ac:dyDescent="0.2">
      <c r="A60" s="82" t="s">
        <v>166</v>
      </c>
      <c r="B60" s="83">
        <f>SUM((B58*2)+B59)</f>
        <v>5</v>
      </c>
      <c r="C60" s="83">
        <f t="shared" ref="C60:K60" si="57">SUM((C58*2)+C59)</f>
        <v>5</v>
      </c>
      <c r="D60" s="83">
        <f t="shared" si="57"/>
        <v>5</v>
      </c>
      <c r="E60" s="83">
        <f t="shared" si="57"/>
        <v>5</v>
      </c>
      <c r="F60" s="83">
        <f t="shared" si="57"/>
        <v>5</v>
      </c>
      <c r="G60" s="83">
        <f t="shared" si="57"/>
        <v>5</v>
      </c>
      <c r="H60" s="83">
        <f t="shared" si="57"/>
        <v>5</v>
      </c>
      <c r="I60" s="83">
        <f t="shared" si="57"/>
        <v>5</v>
      </c>
      <c r="J60" s="83">
        <f t="shared" si="57"/>
        <v>5</v>
      </c>
      <c r="K60" s="84">
        <f t="shared" si="57"/>
        <v>5</v>
      </c>
      <c r="L60" s="82" t="s">
        <v>166</v>
      </c>
      <c r="M60" s="83">
        <f>SUM((M58*2)+M59)</f>
        <v>5</v>
      </c>
      <c r="N60" s="83">
        <f t="shared" ref="N60:V60" si="58">SUM((N58*2)+N59)</f>
        <v>5</v>
      </c>
      <c r="O60" s="83">
        <f t="shared" si="58"/>
        <v>5</v>
      </c>
      <c r="P60" s="83">
        <f t="shared" si="58"/>
        <v>5</v>
      </c>
      <c r="Q60" s="83">
        <f t="shared" si="58"/>
        <v>5</v>
      </c>
      <c r="R60" s="83">
        <f t="shared" si="58"/>
        <v>5</v>
      </c>
      <c r="S60" s="83">
        <f t="shared" si="58"/>
        <v>5</v>
      </c>
      <c r="T60" s="83">
        <f t="shared" si="58"/>
        <v>5</v>
      </c>
      <c r="U60" s="83">
        <f t="shared" si="58"/>
        <v>5</v>
      </c>
      <c r="V60" s="83">
        <f t="shared" si="58"/>
        <v>5</v>
      </c>
      <c r="W60" s="23"/>
      <c r="X60" s="23"/>
    </row>
    <row r="61" spans="1:24" s="23" customFormat="1" ht="13.9" customHeight="1" x14ac:dyDescent="0.2">
      <c r="A61" s="81" t="s">
        <v>130</v>
      </c>
      <c r="B61" s="50">
        <v>-1</v>
      </c>
      <c r="C61" s="51">
        <f>SUM(B61-B61*0.1)</f>
        <v>-0.9</v>
      </c>
      <c r="D61" s="51">
        <f>SUM(C61-C61*0.1)</f>
        <v>-0.81</v>
      </c>
      <c r="E61" s="51">
        <f>SUM(D61-D61*0.05)</f>
        <v>-0.76950000000000007</v>
      </c>
      <c r="F61" s="51">
        <f>SUM(E61-E61*0.05)</f>
        <v>-0.73102500000000004</v>
      </c>
      <c r="G61" s="51">
        <f>SUM(F61-F61*0.05)</f>
        <v>-0.69447375</v>
      </c>
      <c r="H61" s="51">
        <f>SUM(G61-G61*0.02)</f>
        <v>-0.68058427499999996</v>
      </c>
      <c r="I61" s="51">
        <f>SUM(H61-H61*0.02)</f>
        <v>-0.66697258949999993</v>
      </c>
      <c r="J61" s="51">
        <f>SUM(I61-I61*0.02)</f>
        <v>-0.65363313770999998</v>
      </c>
      <c r="K61" s="47">
        <f>SUM(J61-J61*0.02)</f>
        <v>-0.64056047495579993</v>
      </c>
      <c r="L61" s="81" t="s">
        <v>130</v>
      </c>
      <c r="M61" s="51">
        <f>SUM(K61-K61*0.02)</f>
        <v>-0.62774926545668397</v>
      </c>
      <c r="N61" s="51">
        <f>SUM(M61-M61*0.02)</f>
        <v>-0.61519428014755029</v>
      </c>
      <c r="O61" s="51">
        <f t="shared" ref="O61:V61" si="59">SUM(N61-N61*0.02)</f>
        <v>-0.60289039454459925</v>
      </c>
      <c r="P61" s="51">
        <f t="shared" si="59"/>
        <v>-0.5908325866537073</v>
      </c>
      <c r="Q61" s="51">
        <f t="shared" si="59"/>
        <v>-0.57901593492063319</v>
      </c>
      <c r="R61" s="51">
        <f t="shared" si="59"/>
        <v>-0.5674356162222205</v>
      </c>
      <c r="S61" s="51">
        <f t="shared" si="59"/>
        <v>-0.55608690389777604</v>
      </c>
      <c r="T61" s="51">
        <f t="shared" si="59"/>
        <v>-0.54496516581982057</v>
      </c>
      <c r="U61" s="51">
        <f t="shared" si="59"/>
        <v>-0.53406586250342414</v>
      </c>
      <c r="V61" s="47">
        <f t="shared" si="59"/>
        <v>-0.52338454525335565</v>
      </c>
    </row>
    <row r="62" spans="1:24" s="23" customFormat="1" ht="13.9" customHeight="1" x14ac:dyDescent="0.2">
      <c r="A62" s="85" t="s">
        <v>131</v>
      </c>
      <c r="B62" s="86">
        <v>0</v>
      </c>
      <c r="C62" s="87">
        <v>0.02</v>
      </c>
      <c r="D62" s="87">
        <v>0.02</v>
      </c>
      <c r="E62" s="87">
        <v>0.02</v>
      </c>
      <c r="F62" s="87">
        <v>0.02</v>
      </c>
      <c r="G62" s="87">
        <v>0.02</v>
      </c>
      <c r="H62" s="87">
        <v>0.02</v>
      </c>
      <c r="I62" s="87">
        <v>0.02</v>
      </c>
      <c r="J62" s="87">
        <v>0.02</v>
      </c>
      <c r="K62" s="88">
        <v>0.02</v>
      </c>
      <c r="L62" s="85" t="s">
        <v>131</v>
      </c>
      <c r="M62" s="87">
        <v>0.02</v>
      </c>
      <c r="N62" s="87">
        <v>0.02</v>
      </c>
      <c r="O62" s="87">
        <v>0.02</v>
      </c>
      <c r="P62" s="87">
        <v>0.02</v>
      </c>
      <c r="Q62" s="87">
        <v>0.02</v>
      </c>
      <c r="R62" s="87">
        <v>0.02</v>
      </c>
      <c r="S62" s="87">
        <v>0.02</v>
      </c>
      <c r="T62" s="87">
        <v>0.02</v>
      </c>
      <c r="U62" s="87">
        <v>0.02</v>
      </c>
      <c r="V62" s="88">
        <v>0.02</v>
      </c>
      <c r="W62" s="2"/>
      <c r="X62" s="2"/>
    </row>
    <row r="63" spans="1:24" ht="13.9" customHeight="1" x14ac:dyDescent="0.2">
      <c r="A63" s="2" t="s">
        <v>0</v>
      </c>
      <c r="L63" s="2" t="s">
        <v>0</v>
      </c>
    </row>
    <row r="64" spans="1:24" ht="13.9" customHeight="1" x14ac:dyDescent="0.2">
      <c r="A64" s="103" t="s">
        <v>57</v>
      </c>
      <c r="B64" s="71" t="s">
        <v>159</v>
      </c>
      <c r="G64" s="71" t="s">
        <v>160</v>
      </c>
    </row>
    <row r="65" spans="2:17" ht="13.9" customHeight="1" x14ac:dyDescent="0.2">
      <c r="B65" s="2"/>
      <c r="C65" s="6">
        <f>SUM(B50)</f>
        <v>17800000</v>
      </c>
      <c r="D65" s="98" t="s">
        <v>45</v>
      </c>
      <c r="H65" s="6">
        <f>SUM(B50)</f>
        <v>17800000</v>
      </c>
      <c r="I65" s="98" t="s">
        <v>45</v>
      </c>
    </row>
    <row r="66" spans="2:17" ht="13.9" customHeight="1" x14ac:dyDescent="0.2">
      <c r="B66" s="23" t="s">
        <v>46</v>
      </c>
      <c r="C66" s="101">
        <f>SUM(B51)</f>
        <v>3.39</v>
      </c>
      <c r="D66" s="2" t="s">
        <v>50</v>
      </c>
      <c r="G66" s="23" t="s">
        <v>46</v>
      </c>
      <c r="H66" s="101">
        <f>SUM(B51)</f>
        <v>3.39</v>
      </c>
      <c r="I66" s="2" t="s">
        <v>50</v>
      </c>
    </row>
    <row r="67" spans="2:17" ht="13.9" customHeight="1" x14ac:dyDescent="0.2">
      <c r="B67" s="23" t="s">
        <v>46</v>
      </c>
      <c r="C67" s="100">
        <f>SUM(B52)</f>
        <v>0.73</v>
      </c>
      <c r="D67" s="2" t="s">
        <v>59</v>
      </c>
      <c r="G67" s="23" t="s">
        <v>46</v>
      </c>
      <c r="H67" s="100">
        <f>SUM(B53)</f>
        <v>0.27</v>
      </c>
      <c r="I67" s="2" t="s">
        <v>51</v>
      </c>
    </row>
    <row r="68" spans="2:17" ht="13.9" customHeight="1" x14ac:dyDescent="0.2">
      <c r="B68" s="23" t="s">
        <v>46</v>
      </c>
      <c r="C68" s="100">
        <f>SUM(B55)</f>
        <v>0.24</v>
      </c>
      <c r="D68" s="2" t="s">
        <v>60</v>
      </c>
      <c r="G68" s="23" t="s">
        <v>46</v>
      </c>
      <c r="H68" s="100">
        <f>SUM(B55)</f>
        <v>0.24</v>
      </c>
      <c r="I68" s="2" t="s">
        <v>48</v>
      </c>
      <c r="Q68" s="2" t="s">
        <v>0</v>
      </c>
    </row>
    <row r="69" spans="2:17" ht="13.9" customHeight="1" x14ac:dyDescent="0.2">
      <c r="B69" s="23" t="s">
        <v>46</v>
      </c>
      <c r="C69" s="100">
        <f>SUM(B56)</f>
        <v>0.2</v>
      </c>
      <c r="D69" s="2" t="s">
        <v>61</v>
      </c>
      <c r="G69" s="23" t="s">
        <v>46</v>
      </c>
      <c r="H69" s="100">
        <f>SUM(B57)</f>
        <v>0.4</v>
      </c>
      <c r="I69" s="2" t="s">
        <v>52</v>
      </c>
    </row>
    <row r="70" spans="2:17" ht="13.9" customHeight="1" x14ac:dyDescent="0.2">
      <c r="B70" s="23" t="s">
        <v>46</v>
      </c>
      <c r="C70" s="100">
        <f>SUM(B61)</f>
        <v>-1</v>
      </c>
      <c r="D70" s="2" t="s">
        <v>62</v>
      </c>
      <c r="G70" s="23" t="s">
        <v>46</v>
      </c>
      <c r="H70" s="100">
        <f>SUM(B61)</f>
        <v>-1</v>
      </c>
      <c r="I70" s="2" t="s">
        <v>62</v>
      </c>
    </row>
    <row r="71" spans="2:17" s="3" customFormat="1" ht="19.899999999999999" customHeight="1" x14ac:dyDescent="0.25">
      <c r="B71" s="102" t="s">
        <v>47</v>
      </c>
      <c r="C71" s="105">
        <f>SUM(C65*C67*C68*C69*C70*C66)</f>
        <v>-2114383.6800000002</v>
      </c>
      <c r="D71" s="44" t="s">
        <v>54</v>
      </c>
      <c r="E71" s="104"/>
      <c r="F71" s="104"/>
      <c r="G71" s="102" t="s">
        <v>47</v>
      </c>
      <c r="H71" s="105">
        <f>SUM(H65*H67*H68*H69*H70*H66)</f>
        <v>-1564064.6400000001</v>
      </c>
      <c r="I71" s="44" t="s">
        <v>53</v>
      </c>
      <c r="J71" s="104"/>
      <c r="K71" s="104"/>
    </row>
    <row r="72" spans="2:17" ht="13.9" customHeight="1" x14ac:dyDescent="0.2">
      <c r="B72" s="98"/>
    </row>
    <row r="73" spans="2:17" ht="13.9" customHeight="1" x14ac:dyDescent="0.2">
      <c r="B73" s="71" t="s">
        <v>163</v>
      </c>
      <c r="G73" s="71" t="s">
        <v>164</v>
      </c>
      <c r="L73" s="2" t="s">
        <v>0</v>
      </c>
    </row>
    <row r="74" spans="2:17" ht="13.9" customHeight="1" x14ac:dyDescent="0.2">
      <c r="B74" s="2"/>
      <c r="C74" s="6">
        <f>SUM(B50)</f>
        <v>17800000</v>
      </c>
      <c r="D74" s="98" t="s">
        <v>45</v>
      </c>
      <c r="H74" s="6">
        <f>SUM(B50)</f>
        <v>17800000</v>
      </c>
      <c r="I74" s="98" t="s">
        <v>45</v>
      </c>
    </row>
    <row r="75" spans="2:17" ht="13.9" customHeight="1" x14ac:dyDescent="0.2">
      <c r="B75" s="23" t="s">
        <v>55</v>
      </c>
      <c r="C75" s="6">
        <v>2</v>
      </c>
      <c r="D75" s="98" t="s">
        <v>56</v>
      </c>
      <c r="G75" s="23" t="s">
        <v>55</v>
      </c>
      <c r="H75" s="6">
        <v>2</v>
      </c>
      <c r="I75" s="98" t="s">
        <v>56</v>
      </c>
    </row>
    <row r="76" spans="2:17" ht="13.9" customHeight="1" x14ac:dyDescent="0.2">
      <c r="B76" s="23" t="s">
        <v>46</v>
      </c>
      <c r="C76" s="101">
        <f>SUM(B60)</f>
        <v>5</v>
      </c>
      <c r="D76" s="2" t="s">
        <v>165</v>
      </c>
      <c r="G76" s="23" t="s">
        <v>46</v>
      </c>
      <c r="H76" s="101">
        <f>SUM(B60)</f>
        <v>5</v>
      </c>
      <c r="I76" s="2" t="s">
        <v>165</v>
      </c>
    </row>
    <row r="77" spans="2:17" ht="13.9" customHeight="1" x14ac:dyDescent="0.2">
      <c r="B77" s="23" t="s">
        <v>46</v>
      </c>
      <c r="C77" s="100">
        <f>SUM(B52)</f>
        <v>0.73</v>
      </c>
      <c r="D77" s="2" t="s">
        <v>59</v>
      </c>
      <c r="G77" s="23" t="s">
        <v>46</v>
      </c>
      <c r="H77" s="100">
        <f>SUM(G53)</f>
        <v>0.27</v>
      </c>
      <c r="I77" s="2" t="s">
        <v>63</v>
      </c>
    </row>
    <row r="78" spans="2:17" ht="13.9" customHeight="1" x14ac:dyDescent="0.2">
      <c r="B78" s="23" t="s">
        <v>46</v>
      </c>
      <c r="C78" s="100">
        <f>SUM(B55)</f>
        <v>0.24</v>
      </c>
      <c r="D78" s="2" t="s">
        <v>60</v>
      </c>
      <c r="G78" s="23" t="s">
        <v>46</v>
      </c>
      <c r="H78" s="100">
        <f>SUM(B55)</f>
        <v>0.24</v>
      </c>
      <c r="I78" s="2" t="s">
        <v>60</v>
      </c>
    </row>
    <row r="79" spans="2:17" ht="13.9" customHeight="1" x14ac:dyDescent="0.2">
      <c r="B79" s="23" t="s">
        <v>46</v>
      </c>
      <c r="C79" s="100">
        <f>SUM(B56)</f>
        <v>0.2</v>
      </c>
      <c r="D79" s="2" t="s">
        <v>61</v>
      </c>
      <c r="G79" s="23" t="s">
        <v>46</v>
      </c>
      <c r="H79" s="100">
        <f>SUM(G57)</f>
        <v>0.4</v>
      </c>
      <c r="I79" s="2" t="s">
        <v>61</v>
      </c>
    </row>
    <row r="80" spans="2:17" ht="13.9" customHeight="1" x14ac:dyDescent="0.2">
      <c r="B80" s="23" t="s">
        <v>46</v>
      </c>
      <c r="C80" s="100">
        <f>SUM(B61)</f>
        <v>-1</v>
      </c>
      <c r="D80" s="2" t="s">
        <v>49</v>
      </c>
      <c r="G80" s="23" t="s">
        <v>46</v>
      </c>
      <c r="H80" s="100">
        <f>SUM(B61)</f>
        <v>-1</v>
      </c>
      <c r="I80" s="2" t="s">
        <v>49</v>
      </c>
    </row>
    <row r="81" spans="1:24" ht="19.149999999999999" customHeight="1" x14ac:dyDescent="0.2">
      <c r="B81" s="102" t="s">
        <v>47</v>
      </c>
      <c r="C81" s="105">
        <f>SUM((B50/2)*B60*B52*B55*B56*B61)</f>
        <v>-1559280</v>
      </c>
      <c r="D81" s="44" t="s">
        <v>54</v>
      </c>
      <c r="E81" s="74"/>
      <c r="F81" s="74"/>
      <c r="G81" s="102" t="s">
        <v>47</v>
      </c>
      <c r="H81" s="105">
        <f>SUM((B50/2)*B60*B53*B55*B57*B61)</f>
        <v>-1153440</v>
      </c>
      <c r="I81" s="44" t="s">
        <v>54</v>
      </c>
      <c r="J81" s="74"/>
      <c r="K81" s="74"/>
    </row>
    <row r="82" spans="1:24" ht="13.9" customHeight="1" x14ac:dyDescent="0.2">
      <c r="H82" s="99"/>
    </row>
    <row r="83" spans="1:24" s="8" customFormat="1" ht="13.9" customHeight="1" x14ac:dyDescent="0.2">
      <c r="A83" s="92" t="s">
        <v>58</v>
      </c>
      <c r="B83" s="13" t="s">
        <v>9</v>
      </c>
      <c r="C83" s="9" t="s">
        <v>10</v>
      </c>
      <c r="D83" s="9" t="s">
        <v>11</v>
      </c>
      <c r="E83" s="9" t="s">
        <v>12</v>
      </c>
      <c r="F83" s="9" t="s">
        <v>13</v>
      </c>
      <c r="G83" s="9" t="s">
        <v>16</v>
      </c>
      <c r="H83" s="9" t="s">
        <v>17</v>
      </c>
      <c r="I83" s="9" t="s">
        <v>18</v>
      </c>
      <c r="J83" s="9" t="s">
        <v>19</v>
      </c>
      <c r="K83" s="9" t="s">
        <v>20</v>
      </c>
      <c r="L83" s="92" t="s">
        <v>58</v>
      </c>
      <c r="M83" s="13" t="s">
        <v>28</v>
      </c>
      <c r="N83" s="9" t="s">
        <v>29</v>
      </c>
      <c r="O83" s="9" t="s">
        <v>30</v>
      </c>
      <c r="P83" s="9" t="s">
        <v>31</v>
      </c>
      <c r="Q83" s="9" t="s">
        <v>32</v>
      </c>
      <c r="R83" s="9" t="s">
        <v>33</v>
      </c>
      <c r="S83" s="9" t="s">
        <v>34</v>
      </c>
      <c r="T83" s="9" t="s">
        <v>35</v>
      </c>
      <c r="U83" s="9" t="s">
        <v>36</v>
      </c>
      <c r="V83" s="9" t="s">
        <v>37</v>
      </c>
      <c r="W83" s="33"/>
      <c r="X83" s="33"/>
    </row>
    <row r="84" spans="1:24" s="33" customFormat="1" ht="13.9" customHeight="1" x14ac:dyDescent="0.2">
      <c r="A84" s="93" t="s">
        <v>109</v>
      </c>
      <c r="B84" s="31"/>
      <c r="C84" s="53"/>
      <c r="D84" s="53"/>
      <c r="E84" s="53"/>
      <c r="F84" s="53">
        <v>-115000</v>
      </c>
      <c r="G84" s="53"/>
      <c r="H84" s="53"/>
      <c r="I84" s="53"/>
      <c r="J84" s="53"/>
      <c r="K84" s="48">
        <v>-115000</v>
      </c>
      <c r="L84" s="93" t="s">
        <v>109</v>
      </c>
      <c r="M84" s="53"/>
      <c r="N84" s="53"/>
      <c r="O84" s="53"/>
      <c r="P84" s="53"/>
      <c r="Q84" s="53">
        <v>-115000</v>
      </c>
      <c r="R84" s="53"/>
      <c r="S84" s="53"/>
      <c r="T84" s="53"/>
      <c r="U84" s="53"/>
      <c r="V84" s="48">
        <v>-115000</v>
      </c>
      <c r="X84" s="4">
        <f t="shared" ref="X84:X88" si="60">SUM(B84:V84)</f>
        <v>-460000</v>
      </c>
    </row>
    <row r="85" spans="1:24" s="33" customFormat="1" ht="13.9" customHeight="1" x14ac:dyDescent="0.2">
      <c r="A85" s="93" t="s">
        <v>110</v>
      </c>
      <c r="B85" s="11"/>
      <c r="C85" s="54"/>
      <c r="D85" s="54"/>
      <c r="E85" s="54"/>
      <c r="F85" s="54"/>
      <c r="G85" s="54"/>
      <c r="H85" s="54"/>
      <c r="I85" s="54">
        <v>-13600</v>
      </c>
      <c r="J85" s="54"/>
      <c r="K85" s="36"/>
      <c r="L85" s="93" t="s">
        <v>110</v>
      </c>
      <c r="M85" s="54"/>
      <c r="N85" s="54"/>
      <c r="O85" s="54"/>
      <c r="P85" s="54"/>
      <c r="Q85" s="54"/>
      <c r="R85" s="54">
        <v>-13600</v>
      </c>
      <c r="S85" s="54"/>
      <c r="T85" s="54"/>
      <c r="U85" s="54"/>
      <c r="V85" s="36"/>
      <c r="X85" s="4">
        <f t="shared" si="60"/>
        <v>-27200</v>
      </c>
    </row>
    <row r="86" spans="1:24" s="33" customFormat="1" ht="13.9" customHeight="1" x14ac:dyDescent="0.2">
      <c r="A86" s="93" t="s">
        <v>111</v>
      </c>
      <c r="B86" s="31"/>
      <c r="C86" s="53"/>
      <c r="D86" s="53"/>
      <c r="E86" s="53"/>
      <c r="F86" s="53"/>
      <c r="G86" s="53"/>
      <c r="H86" s="53"/>
      <c r="I86" s="53"/>
      <c r="J86" s="53"/>
      <c r="K86" s="48"/>
      <c r="L86" s="93" t="s">
        <v>111</v>
      </c>
      <c r="M86" s="53"/>
      <c r="N86" s="53"/>
      <c r="O86" s="53"/>
      <c r="P86" s="53"/>
      <c r="Q86" s="53">
        <v>-58000</v>
      </c>
      <c r="R86" s="53"/>
      <c r="S86" s="53"/>
      <c r="T86" s="53"/>
      <c r="U86" s="53"/>
      <c r="V86" s="48"/>
      <c r="X86" s="4">
        <f t="shared" si="60"/>
        <v>-58000</v>
      </c>
    </row>
    <row r="87" spans="1:24" s="33" customFormat="1" ht="13.9" customHeight="1" x14ac:dyDescent="0.2">
      <c r="A87" s="93" t="s">
        <v>112</v>
      </c>
      <c r="B87" s="31"/>
      <c r="C87" s="53"/>
      <c r="D87" s="53"/>
      <c r="E87" s="53"/>
      <c r="F87" s="53"/>
      <c r="G87" s="53"/>
      <c r="H87" s="53"/>
      <c r="I87" s="53"/>
      <c r="J87" s="53"/>
      <c r="K87" s="48"/>
      <c r="L87" s="93" t="s">
        <v>112</v>
      </c>
      <c r="M87" s="53"/>
      <c r="N87" s="53"/>
      <c r="O87" s="53"/>
      <c r="P87" s="53"/>
      <c r="Q87" s="53">
        <v>-3080000</v>
      </c>
      <c r="R87" s="53"/>
      <c r="S87" s="53"/>
      <c r="T87" s="53"/>
      <c r="U87" s="53"/>
      <c r="V87" s="48"/>
      <c r="X87" s="4">
        <f t="shared" si="60"/>
        <v>-3080000</v>
      </c>
    </row>
    <row r="88" spans="1:24" s="33" customFormat="1" ht="13.9" customHeight="1" x14ac:dyDescent="0.2">
      <c r="A88" s="93" t="s">
        <v>2</v>
      </c>
      <c r="B88" s="31"/>
      <c r="C88" s="53"/>
      <c r="D88" s="53"/>
      <c r="E88" s="53"/>
      <c r="F88" s="53"/>
      <c r="G88" s="53"/>
      <c r="H88" s="53"/>
      <c r="I88" s="53"/>
      <c r="J88" s="53"/>
      <c r="K88" s="48"/>
      <c r="L88" s="93" t="s">
        <v>2</v>
      </c>
      <c r="M88" s="53"/>
      <c r="N88" s="53"/>
      <c r="O88" s="53"/>
      <c r="P88" s="53"/>
      <c r="Q88" s="53"/>
      <c r="R88" s="53"/>
      <c r="S88" s="53"/>
      <c r="T88" s="53"/>
      <c r="U88" s="53"/>
      <c r="V88" s="48">
        <v>-814000</v>
      </c>
      <c r="X88" s="4">
        <f t="shared" si="60"/>
        <v>-814000</v>
      </c>
    </row>
    <row r="89" spans="1:24" s="4" customFormat="1" ht="17.45" customHeight="1" x14ac:dyDescent="0.25">
      <c r="A89" s="94" t="s">
        <v>43</v>
      </c>
      <c r="B89" s="95">
        <f>SUM(B84:B88)</f>
        <v>0</v>
      </c>
      <c r="C89" s="95">
        <f t="shared" ref="C89:V89" si="61">SUM(C84:C88)</f>
        <v>0</v>
      </c>
      <c r="D89" s="95">
        <f t="shared" si="61"/>
        <v>0</v>
      </c>
      <c r="E89" s="95">
        <f t="shared" si="61"/>
        <v>0</v>
      </c>
      <c r="F89" s="95">
        <f t="shared" si="61"/>
        <v>-115000</v>
      </c>
      <c r="G89" s="95">
        <f t="shared" si="61"/>
        <v>0</v>
      </c>
      <c r="H89" s="95">
        <f t="shared" si="61"/>
        <v>0</v>
      </c>
      <c r="I89" s="95">
        <f t="shared" si="61"/>
        <v>-13600</v>
      </c>
      <c r="J89" s="95">
        <f t="shared" si="61"/>
        <v>0</v>
      </c>
      <c r="K89" s="96">
        <f t="shared" si="61"/>
        <v>-115000</v>
      </c>
      <c r="L89" s="97" t="s">
        <v>43</v>
      </c>
      <c r="M89" s="95">
        <f t="shared" si="61"/>
        <v>0</v>
      </c>
      <c r="N89" s="95">
        <f t="shared" si="61"/>
        <v>0</v>
      </c>
      <c r="O89" s="95">
        <f t="shared" si="61"/>
        <v>0</v>
      </c>
      <c r="P89" s="95">
        <f t="shared" si="61"/>
        <v>0</v>
      </c>
      <c r="Q89" s="95">
        <f t="shared" si="61"/>
        <v>-3253000</v>
      </c>
      <c r="R89" s="95">
        <f t="shared" si="61"/>
        <v>-13600</v>
      </c>
      <c r="S89" s="95">
        <f t="shared" si="61"/>
        <v>0</v>
      </c>
      <c r="T89" s="95">
        <f t="shared" si="61"/>
        <v>0</v>
      </c>
      <c r="U89" s="95">
        <f t="shared" si="61"/>
        <v>0</v>
      </c>
      <c r="V89" s="96">
        <f t="shared" si="61"/>
        <v>-929000</v>
      </c>
      <c r="W89" s="3"/>
      <c r="X89" s="4">
        <f>SUM(B89:V89)</f>
        <v>-4439200</v>
      </c>
    </row>
    <row r="94" spans="1:24" ht="13.9" customHeight="1" x14ac:dyDescent="0.2">
      <c r="E94" s="2" t="s">
        <v>0</v>
      </c>
    </row>
  </sheetData>
  <mergeCells count="10">
    <mergeCell ref="A39:K39"/>
    <mergeCell ref="L39:V39"/>
    <mergeCell ref="A40:K40"/>
    <mergeCell ref="L40:V40"/>
    <mergeCell ref="A1:K1"/>
    <mergeCell ref="L1:V1"/>
    <mergeCell ref="A19:K19"/>
    <mergeCell ref="L19:V19"/>
    <mergeCell ref="A20:K20"/>
    <mergeCell ref="L20:V20"/>
  </mergeCells>
  <printOptions gridLines="1"/>
  <pageMargins left="0.46" right="0.32" top="0.72" bottom="0.48" header="0.39" footer="0.3"/>
  <pageSetup scale="81" fitToWidth="2" fitToHeight="2" pageOrder="overThenDown" orientation="landscape" r:id="rId1"/>
  <headerFooter>
    <oddHeader>&amp;C&amp;"-,Bold Italic"&amp;14Comparative Analysis ~ AET versus ORT -with 20/40% Leakage</oddHeader>
    <oddFooter>&amp;L&amp;D&amp;CPage &amp;P of &amp;N&amp;RAuthor: P. R. Smith</oddFooter>
  </headerFooter>
  <rowBreaks count="1" manualBreakCount="1">
    <brk id="47" max="16383" man="1"/>
  </rowBreaks>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5"/>
  <sheetViews>
    <sheetView workbookViewId="0">
      <selection activeCell="H26" sqref="H26"/>
    </sheetView>
  </sheetViews>
  <sheetFormatPr defaultColWidth="8.85546875" defaultRowHeight="12" x14ac:dyDescent="0.2"/>
  <cols>
    <col min="1" max="1" width="8.28515625" style="19" customWidth="1"/>
    <col min="2" max="2" width="10.7109375" style="2" customWidth="1"/>
    <col min="3" max="3" width="39.28515625" style="2" customWidth="1"/>
    <col min="4" max="4" width="10.42578125" style="2" customWidth="1"/>
    <col min="5" max="5" width="10.85546875" style="2" customWidth="1"/>
    <col min="6" max="6" width="42.28515625" style="2" customWidth="1"/>
    <col min="7" max="16384" width="8.85546875" style="2"/>
  </cols>
  <sheetData>
    <row r="1" spans="1:6" ht="20.45" customHeight="1" x14ac:dyDescent="0.2">
      <c r="A1" s="195"/>
      <c r="B1" s="195"/>
      <c r="C1" s="193" t="s">
        <v>44</v>
      </c>
      <c r="D1" s="193"/>
      <c r="E1" s="193"/>
      <c r="F1" s="194"/>
    </row>
    <row r="2" spans="1:6" s="144" customFormat="1" ht="19.899999999999999" customHeight="1" x14ac:dyDescent="0.25">
      <c r="A2" s="190"/>
      <c r="B2" s="152" t="s">
        <v>116</v>
      </c>
      <c r="C2" s="151" t="s">
        <v>117</v>
      </c>
      <c r="D2" s="153" t="s">
        <v>9</v>
      </c>
      <c r="E2" s="153" t="s">
        <v>10</v>
      </c>
      <c r="F2" s="194"/>
    </row>
    <row r="3" spans="1:6" s="3" customFormat="1" ht="13.15" customHeight="1" x14ac:dyDescent="0.25">
      <c r="A3" s="190"/>
      <c r="B3" s="157">
        <v>50</v>
      </c>
      <c r="C3" s="76" t="s">
        <v>92</v>
      </c>
      <c r="D3" s="162">
        <v>17800000</v>
      </c>
      <c r="E3" s="162">
        <f>SUM(D3*1.02)</f>
        <v>18156000</v>
      </c>
      <c r="F3" s="194"/>
    </row>
    <row r="4" spans="1:6" s="158" customFormat="1" ht="13.15" customHeight="1" x14ac:dyDescent="0.25">
      <c r="A4" s="190"/>
      <c r="B4" s="155">
        <v>51</v>
      </c>
      <c r="C4" s="156" t="s">
        <v>93</v>
      </c>
      <c r="D4" s="154">
        <v>3.39</v>
      </c>
      <c r="E4" s="154">
        <f>SUM(D4)</f>
        <v>3.39</v>
      </c>
      <c r="F4" s="194"/>
    </row>
    <row r="5" spans="1:6" s="158" customFormat="1" ht="13.15" customHeight="1" x14ac:dyDescent="0.25">
      <c r="A5" s="190"/>
      <c r="B5" s="155">
        <v>52</v>
      </c>
      <c r="C5" s="156" t="s">
        <v>94</v>
      </c>
      <c r="D5" s="163">
        <v>0.62</v>
      </c>
      <c r="E5" s="163">
        <v>0.62</v>
      </c>
      <c r="F5" s="194"/>
    </row>
    <row r="6" spans="1:6" s="158" customFormat="1" ht="13.15" customHeight="1" x14ac:dyDescent="0.25">
      <c r="A6" s="190"/>
      <c r="B6" s="155">
        <v>53</v>
      </c>
      <c r="C6" s="156" t="s">
        <v>95</v>
      </c>
      <c r="D6" s="163">
        <v>0.38</v>
      </c>
      <c r="E6" s="163">
        <v>0.38</v>
      </c>
      <c r="F6" s="194"/>
    </row>
    <row r="7" spans="1:6" s="158" customFormat="1" ht="13.15" customHeight="1" x14ac:dyDescent="0.25">
      <c r="A7" s="190"/>
      <c r="B7" s="155">
        <v>54</v>
      </c>
      <c r="C7" s="159" t="s">
        <v>96</v>
      </c>
      <c r="D7" s="163">
        <v>0.76</v>
      </c>
      <c r="E7" s="165">
        <f>SUM(D7*1.03)</f>
        <v>0.78280000000000005</v>
      </c>
      <c r="F7" s="194"/>
    </row>
    <row r="8" spans="1:6" s="158" customFormat="1" ht="13.15" customHeight="1" x14ac:dyDescent="0.25">
      <c r="A8" s="190"/>
      <c r="B8" s="155">
        <v>55</v>
      </c>
      <c r="C8" s="159" t="s">
        <v>97</v>
      </c>
      <c r="D8" s="163">
        <v>0.24</v>
      </c>
      <c r="E8" s="165">
        <f t="shared" ref="E8" si="0">SUM(1-E7)</f>
        <v>0.21719999999999995</v>
      </c>
      <c r="F8" s="194"/>
    </row>
    <row r="9" spans="1:6" s="158" customFormat="1" ht="13.15" customHeight="1" x14ac:dyDescent="0.25">
      <c r="A9" s="190"/>
      <c r="B9" s="155">
        <v>56</v>
      </c>
      <c r="C9" s="156" t="s">
        <v>98</v>
      </c>
      <c r="D9" s="163">
        <v>0.05</v>
      </c>
      <c r="E9" s="163">
        <f>SUM(D9)</f>
        <v>0.05</v>
      </c>
      <c r="F9" s="194"/>
    </row>
    <row r="10" spans="1:6" s="158" customFormat="1" ht="13.15" customHeight="1" x14ac:dyDescent="0.25">
      <c r="A10" s="190"/>
      <c r="B10" s="155">
        <v>57</v>
      </c>
      <c r="C10" s="156" t="s">
        <v>99</v>
      </c>
      <c r="D10" s="163">
        <v>0.1</v>
      </c>
      <c r="E10" s="163">
        <f>SUM(D10)</f>
        <v>0.1</v>
      </c>
      <c r="F10" s="194"/>
    </row>
    <row r="11" spans="1:6" s="158" customFormat="1" ht="13.15" customHeight="1" x14ac:dyDescent="0.25">
      <c r="A11" s="190"/>
      <c r="B11" s="155">
        <v>58</v>
      </c>
      <c r="C11" s="159" t="s">
        <v>100</v>
      </c>
      <c r="D11" s="154">
        <v>1</v>
      </c>
      <c r="E11" s="154">
        <v>1</v>
      </c>
      <c r="F11" s="194"/>
    </row>
    <row r="12" spans="1:6" s="158" customFormat="1" ht="13.15" customHeight="1" x14ac:dyDescent="0.25">
      <c r="A12" s="190"/>
      <c r="B12" s="155">
        <v>59</v>
      </c>
      <c r="C12" s="159" t="s">
        <v>101</v>
      </c>
      <c r="D12" s="154">
        <v>5</v>
      </c>
      <c r="E12" s="154">
        <v>5</v>
      </c>
      <c r="F12" s="194"/>
    </row>
    <row r="13" spans="1:6" s="158" customFormat="1" ht="13.15" customHeight="1" x14ac:dyDescent="0.25">
      <c r="A13" s="190"/>
      <c r="B13" s="155">
        <v>60</v>
      </c>
      <c r="C13" s="159" t="s">
        <v>102</v>
      </c>
      <c r="D13" s="154">
        <f>SUM((D11*2)+D12)</f>
        <v>7</v>
      </c>
      <c r="E13" s="154">
        <f t="shared" ref="E13" si="1">SUM((E11*2)+E12)</f>
        <v>7</v>
      </c>
      <c r="F13" s="194"/>
    </row>
    <row r="14" spans="1:6" s="158" customFormat="1" ht="13.15" customHeight="1" x14ac:dyDescent="0.25">
      <c r="A14" s="190"/>
      <c r="B14" s="155">
        <v>61</v>
      </c>
      <c r="C14" s="159" t="s">
        <v>103</v>
      </c>
      <c r="D14" s="163">
        <v>-1</v>
      </c>
      <c r="E14" s="165">
        <f>SUM(D14-D14*0.1)</f>
        <v>-0.9</v>
      </c>
      <c r="F14" s="194"/>
    </row>
    <row r="15" spans="1:6" s="158" customFormat="1" ht="13.15" customHeight="1" x14ac:dyDescent="0.25">
      <c r="A15" s="190"/>
      <c r="B15" s="161">
        <v>62</v>
      </c>
      <c r="C15" s="160" t="s">
        <v>104</v>
      </c>
      <c r="D15" s="164">
        <v>0</v>
      </c>
      <c r="E15" s="166">
        <v>0.02</v>
      </c>
      <c r="F15" s="194"/>
    </row>
    <row r="16" spans="1:6" ht="38.450000000000003" customHeight="1" x14ac:dyDescent="0.2">
      <c r="A16" s="192" t="s">
        <v>57</v>
      </c>
      <c r="B16" s="192"/>
      <c r="C16" s="192"/>
      <c r="D16" s="192"/>
      <c r="E16" s="192"/>
      <c r="F16" s="192"/>
    </row>
    <row r="17" spans="1:6" s="144" customFormat="1" ht="20.45" customHeight="1" x14ac:dyDescent="0.25">
      <c r="A17" s="141" t="s">
        <v>108</v>
      </c>
      <c r="B17" s="142"/>
      <c r="C17" s="143"/>
      <c r="D17" s="141" t="s">
        <v>107</v>
      </c>
      <c r="E17" s="142"/>
      <c r="F17" s="143"/>
    </row>
    <row r="18" spans="1:6" ht="13.15" customHeight="1" x14ac:dyDescent="0.2">
      <c r="B18" s="33">
        <v>17800000</v>
      </c>
      <c r="C18" s="75" t="s">
        <v>45</v>
      </c>
      <c r="E18" s="33">
        <v>17800000</v>
      </c>
      <c r="F18" s="75" t="s">
        <v>45</v>
      </c>
    </row>
    <row r="19" spans="1:6" ht="13.15" customHeight="1" x14ac:dyDescent="0.2">
      <c r="A19" s="145" t="s">
        <v>113</v>
      </c>
      <c r="B19" s="101">
        <v>3.39</v>
      </c>
      <c r="C19" s="146" t="s">
        <v>50</v>
      </c>
      <c r="D19" s="145" t="s">
        <v>113</v>
      </c>
      <c r="E19" s="101">
        <v>3.39</v>
      </c>
      <c r="F19" s="146" t="s">
        <v>50</v>
      </c>
    </row>
    <row r="20" spans="1:6" ht="13.15" customHeight="1" x14ac:dyDescent="0.2">
      <c r="A20" s="145" t="s">
        <v>113</v>
      </c>
      <c r="B20" s="100">
        <v>0.62</v>
      </c>
      <c r="C20" s="146" t="s">
        <v>59</v>
      </c>
      <c r="D20" s="145" t="s">
        <v>113</v>
      </c>
      <c r="E20" s="100">
        <v>0.38</v>
      </c>
      <c r="F20" s="146" t="s">
        <v>51</v>
      </c>
    </row>
    <row r="21" spans="1:6" ht="13.15" customHeight="1" x14ac:dyDescent="0.2">
      <c r="A21" s="145" t="s">
        <v>113</v>
      </c>
      <c r="B21" s="100">
        <v>0.24</v>
      </c>
      <c r="C21" s="146" t="s">
        <v>60</v>
      </c>
      <c r="D21" s="145" t="s">
        <v>113</v>
      </c>
      <c r="E21" s="100">
        <v>0.24</v>
      </c>
      <c r="F21" s="146" t="s">
        <v>48</v>
      </c>
    </row>
    <row r="22" spans="1:6" ht="13.15" customHeight="1" x14ac:dyDescent="0.2">
      <c r="A22" s="145" t="s">
        <v>113</v>
      </c>
      <c r="B22" s="100">
        <v>0.05</v>
      </c>
      <c r="C22" s="146" t="s">
        <v>61</v>
      </c>
      <c r="D22" s="145" t="s">
        <v>113</v>
      </c>
      <c r="E22" s="100">
        <v>0.1</v>
      </c>
      <c r="F22" s="146" t="s">
        <v>52</v>
      </c>
    </row>
    <row r="23" spans="1:6" ht="13.15" customHeight="1" x14ac:dyDescent="0.2">
      <c r="A23" s="145" t="s">
        <v>113</v>
      </c>
      <c r="B23" s="100">
        <v>-1</v>
      </c>
      <c r="C23" s="147" t="s">
        <v>105</v>
      </c>
      <c r="D23" s="145" t="s">
        <v>113</v>
      </c>
      <c r="E23" s="100">
        <v>-1</v>
      </c>
      <c r="F23" s="147" t="s">
        <v>105</v>
      </c>
    </row>
    <row r="24" spans="1:6" s="3" customFormat="1" ht="19.899999999999999" customHeight="1" x14ac:dyDescent="0.25">
      <c r="A24" s="148" t="s">
        <v>114</v>
      </c>
      <c r="B24" s="149">
        <v>-448944.48000000004</v>
      </c>
      <c r="C24" s="150" t="s">
        <v>54</v>
      </c>
      <c r="D24" s="148" t="s">
        <v>114</v>
      </c>
      <c r="E24" s="149">
        <v>-550319.04</v>
      </c>
      <c r="F24" s="150" t="s">
        <v>53</v>
      </c>
    </row>
    <row r="25" spans="1:6" ht="15" customHeight="1" x14ac:dyDescent="0.2">
      <c r="A25" s="191"/>
      <c r="B25" s="191"/>
      <c r="C25" s="191"/>
      <c r="D25" s="191"/>
      <c r="E25" s="191"/>
      <c r="F25" s="191"/>
    </row>
    <row r="26" spans="1:6" s="144" customFormat="1" ht="22.9" customHeight="1" x14ac:dyDescent="0.25">
      <c r="A26" s="141" t="s">
        <v>161</v>
      </c>
      <c r="B26" s="142"/>
      <c r="C26" s="143"/>
      <c r="D26" s="141" t="s">
        <v>162</v>
      </c>
      <c r="E26" s="142"/>
      <c r="F26" s="143"/>
    </row>
    <row r="27" spans="1:6" ht="13.15" customHeight="1" x14ac:dyDescent="0.2">
      <c r="B27" s="33">
        <v>17800000</v>
      </c>
      <c r="C27" s="75" t="s">
        <v>45</v>
      </c>
      <c r="E27" s="33">
        <v>17800000</v>
      </c>
      <c r="F27" s="75" t="s">
        <v>45</v>
      </c>
    </row>
    <row r="28" spans="1:6" ht="13.15" customHeight="1" x14ac:dyDescent="0.2">
      <c r="A28" s="145" t="s">
        <v>115</v>
      </c>
      <c r="B28" s="33">
        <v>2</v>
      </c>
      <c r="C28" s="146" t="s">
        <v>56</v>
      </c>
      <c r="D28" s="145" t="s">
        <v>115</v>
      </c>
      <c r="E28" s="33">
        <v>2</v>
      </c>
      <c r="F28" s="146" t="s">
        <v>56</v>
      </c>
    </row>
    <row r="29" spans="1:6" ht="13.15" customHeight="1" x14ac:dyDescent="0.2">
      <c r="A29" s="145" t="s">
        <v>113</v>
      </c>
      <c r="B29" s="101">
        <v>7</v>
      </c>
      <c r="C29" s="146" t="s">
        <v>64</v>
      </c>
      <c r="D29" s="145" t="s">
        <v>113</v>
      </c>
      <c r="E29" s="101">
        <v>7</v>
      </c>
      <c r="F29" s="146" t="s">
        <v>64</v>
      </c>
    </row>
    <row r="30" spans="1:6" ht="13.15" customHeight="1" x14ac:dyDescent="0.2">
      <c r="A30" s="145" t="s">
        <v>113</v>
      </c>
      <c r="B30" s="100">
        <v>0.24</v>
      </c>
      <c r="C30" s="146" t="s">
        <v>60</v>
      </c>
      <c r="D30" s="145" t="s">
        <v>113</v>
      </c>
      <c r="E30" s="100">
        <v>0.24</v>
      </c>
      <c r="F30" s="146" t="s">
        <v>60</v>
      </c>
    </row>
    <row r="31" spans="1:6" ht="13.15" customHeight="1" x14ac:dyDescent="0.2">
      <c r="A31" s="145" t="s">
        <v>113</v>
      </c>
      <c r="B31" s="100">
        <v>0.62</v>
      </c>
      <c r="C31" s="146" t="s">
        <v>59</v>
      </c>
      <c r="D31" s="145" t="s">
        <v>113</v>
      </c>
      <c r="E31" s="100">
        <v>0.38</v>
      </c>
      <c r="F31" s="146" t="s">
        <v>63</v>
      </c>
    </row>
    <row r="32" spans="1:6" ht="13.15" customHeight="1" x14ac:dyDescent="0.2">
      <c r="A32" s="145" t="s">
        <v>113</v>
      </c>
      <c r="B32" s="100">
        <v>0.05</v>
      </c>
      <c r="C32" s="146" t="s">
        <v>61</v>
      </c>
      <c r="D32" s="145" t="s">
        <v>113</v>
      </c>
      <c r="E32" s="100">
        <v>0.1</v>
      </c>
      <c r="F32" s="146" t="s">
        <v>61</v>
      </c>
    </row>
    <row r="33" spans="1:6" ht="13.15" customHeight="1" x14ac:dyDescent="0.2">
      <c r="A33" s="145" t="s">
        <v>113</v>
      </c>
      <c r="B33" s="100">
        <v>-1</v>
      </c>
      <c r="C33" s="147" t="s">
        <v>106</v>
      </c>
      <c r="D33" s="145" t="s">
        <v>113</v>
      </c>
      <c r="E33" s="100">
        <v>-1</v>
      </c>
      <c r="F33" s="147" t="s">
        <v>106</v>
      </c>
    </row>
    <row r="34" spans="1:6" s="3" customFormat="1" ht="19.899999999999999" customHeight="1" x14ac:dyDescent="0.25">
      <c r="A34" s="148" t="s">
        <v>114</v>
      </c>
      <c r="B34" s="149">
        <v>-463512</v>
      </c>
      <c r="C34" s="150" t="s">
        <v>54</v>
      </c>
      <c r="D34" s="148" t="s">
        <v>114</v>
      </c>
      <c r="E34" s="149">
        <v>-568176</v>
      </c>
      <c r="F34" s="150" t="s">
        <v>54</v>
      </c>
    </row>
    <row r="35" spans="1:6" x14ac:dyDescent="0.2">
      <c r="E35" s="99"/>
    </row>
  </sheetData>
  <mergeCells count="6">
    <mergeCell ref="A2:A15"/>
    <mergeCell ref="A25:F25"/>
    <mergeCell ref="A16:F16"/>
    <mergeCell ref="C1:E1"/>
    <mergeCell ref="F1:F15"/>
    <mergeCell ref="A1:B1"/>
  </mergeCells>
  <printOptions gridLines="1"/>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55"/>
  <sheetViews>
    <sheetView topLeftCell="A5" workbookViewId="0">
      <selection activeCell="F23" sqref="F23"/>
    </sheetView>
  </sheetViews>
  <sheetFormatPr defaultColWidth="10" defaultRowHeight="12.75" x14ac:dyDescent="0.2"/>
  <cols>
    <col min="1" max="1" width="10.140625" style="167" bestFit="1" customWidth="1"/>
    <col min="2" max="2" width="12.28515625" style="168" customWidth="1"/>
    <col min="3" max="3" width="12.42578125" style="167" bestFit="1" customWidth="1"/>
    <col min="4" max="5" width="11.42578125" style="167" bestFit="1" customWidth="1"/>
    <col min="6" max="6" width="11.7109375" style="167" customWidth="1"/>
    <col min="7" max="11" width="10.5703125" style="167" bestFit="1" customWidth="1"/>
    <col min="12" max="12" width="10" style="167"/>
    <col min="13" max="13" width="12.5703125" style="167" customWidth="1"/>
    <col min="14" max="16384" width="10" style="167"/>
  </cols>
  <sheetData>
    <row r="2" spans="1:6" s="174" customFormat="1" ht="24" x14ac:dyDescent="0.2">
      <c r="B2" s="175" t="s">
        <v>143</v>
      </c>
      <c r="C2" s="174" t="s">
        <v>142</v>
      </c>
      <c r="D2" s="174" t="s">
        <v>141</v>
      </c>
      <c r="E2" s="174" t="s">
        <v>140</v>
      </c>
      <c r="F2" s="174" t="s">
        <v>144</v>
      </c>
    </row>
    <row r="3" spans="1:6" s="176" customFormat="1" ht="20.45" customHeight="1" x14ac:dyDescent="0.25">
      <c r="B3" s="177"/>
      <c r="C3" s="176">
        <v>41000000</v>
      </c>
      <c r="D3" s="178">
        <v>0.04</v>
      </c>
    </row>
    <row r="4" spans="1:6" s="172" customFormat="1" ht="12" x14ac:dyDescent="0.2">
      <c r="A4" s="172">
        <v>1</v>
      </c>
      <c r="B4" s="173">
        <v>2050000</v>
      </c>
      <c r="C4" s="172">
        <f t="shared" ref="C4:C23" si="0">+C3-B4</f>
        <v>38950000</v>
      </c>
      <c r="D4" s="172">
        <f t="shared" ref="D4:D23" si="1">+C3*D$3</f>
        <v>1640000</v>
      </c>
      <c r="E4" s="172">
        <f>(+B4+D4)*-1</f>
        <v>-3690000</v>
      </c>
      <c r="F4" s="180">
        <f>E4/12</f>
        <v>-307500</v>
      </c>
    </row>
    <row r="5" spans="1:6" s="172" customFormat="1" ht="12" x14ac:dyDescent="0.2">
      <c r="A5" s="172">
        <f t="shared" ref="A5:A23" si="2">+A4+1</f>
        <v>2</v>
      </c>
      <c r="B5" s="173">
        <v>2050000</v>
      </c>
      <c r="C5" s="172">
        <f t="shared" si="0"/>
        <v>36900000</v>
      </c>
      <c r="D5" s="172">
        <f t="shared" si="1"/>
        <v>1558000</v>
      </c>
      <c r="E5" s="172">
        <f t="shared" ref="E5:E23" si="3">(+B5+D5)*-1</f>
        <v>-3608000</v>
      </c>
      <c r="F5" s="180">
        <f t="shared" ref="F5:F23" si="4">E5/12</f>
        <v>-300666.66666666669</v>
      </c>
    </row>
    <row r="6" spans="1:6" s="172" customFormat="1" ht="12" x14ac:dyDescent="0.2">
      <c r="A6" s="172">
        <f t="shared" si="2"/>
        <v>3</v>
      </c>
      <c r="B6" s="173">
        <v>2050000</v>
      </c>
      <c r="C6" s="172">
        <f t="shared" si="0"/>
        <v>34850000</v>
      </c>
      <c r="D6" s="172">
        <f t="shared" si="1"/>
        <v>1476000</v>
      </c>
      <c r="E6" s="172">
        <f t="shared" si="3"/>
        <v>-3526000</v>
      </c>
      <c r="F6" s="180">
        <f t="shared" si="4"/>
        <v>-293833.33333333331</v>
      </c>
    </row>
    <row r="7" spans="1:6" s="172" customFormat="1" ht="12" x14ac:dyDescent="0.2">
      <c r="A7" s="172">
        <f t="shared" si="2"/>
        <v>4</v>
      </c>
      <c r="B7" s="173">
        <v>2050000</v>
      </c>
      <c r="C7" s="172">
        <f t="shared" si="0"/>
        <v>32800000</v>
      </c>
      <c r="D7" s="172">
        <f t="shared" si="1"/>
        <v>1394000</v>
      </c>
      <c r="E7" s="172">
        <f t="shared" si="3"/>
        <v>-3444000</v>
      </c>
      <c r="F7" s="180">
        <f t="shared" si="4"/>
        <v>-287000</v>
      </c>
    </row>
    <row r="8" spans="1:6" s="172" customFormat="1" ht="12" x14ac:dyDescent="0.2">
      <c r="A8" s="172">
        <f t="shared" si="2"/>
        <v>5</v>
      </c>
      <c r="B8" s="173">
        <v>2050000</v>
      </c>
      <c r="C8" s="172">
        <f t="shared" si="0"/>
        <v>30750000</v>
      </c>
      <c r="D8" s="172">
        <f t="shared" si="1"/>
        <v>1312000</v>
      </c>
      <c r="E8" s="172">
        <f t="shared" si="3"/>
        <v>-3362000</v>
      </c>
      <c r="F8" s="180">
        <f t="shared" si="4"/>
        <v>-280166.66666666669</v>
      </c>
    </row>
    <row r="9" spans="1:6" s="172" customFormat="1" ht="12" x14ac:dyDescent="0.2">
      <c r="A9" s="172">
        <f t="shared" si="2"/>
        <v>6</v>
      </c>
      <c r="B9" s="173">
        <v>2050000</v>
      </c>
      <c r="C9" s="172">
        <f t="shared" si="0"/>
        <v>28700000</v>
      </c>
      <c r="D9" s="172">
        <f t="shared" si="1"/>
        <v>1230000</v>
      </c>
      <c r="E9" s="172">
        <f t="shared" si="3"/>
        <v>-3280000</v>
      </c>
      <c r="F9" s="180">
        <f t="shared" si="4"/>
        <v>-273333.33333333331</v>
      </c>
    </row>
    <row r="10" spans="1:6" s="172" customFormat="1" ht="12" x14ac:dyDescent="0.2">
      <c r="A10" s="172">
        <f t="shared" si="2"/>
        <v>7</v>
      </c>
      <c r="B10" s="173">
        <v>2050000</v>
      </c>
      <c r="C10" s="172">
        <f t="shared" si="0"/>
        <v>26650000</v>
      </c>
      <c r="D10" s="172">
        <f t="shared" si="1"/>
        <v>1148000</v>
      </c>
      <c r="E10" s="172">
        <f t="shared" si="3"/>
        <v>-3198000</v>
      </c>
      <c r="F10" s="180">
        <f t="shared" si="4"/>
        <v>-266500</v>
      </c>
    </row>
    <row r="11" spans="1:6" s="172" customFormat="1" ht="12" x14ac:dyDescent="0.2">
      <c r="A11" s="172">
        <f t="shared" si="2"/>
        <v>8</v>
      </c>
      <c r="B11" s="173">
        <v>2050000</v>
      </c>
      <c r="C11" s="172">
        <f t="shared" si="0"/>
        <v>24600000</v>
      </c>
      <c r="D11" s="172">
        <f t="shared" si="1"/>
        <v>1066000</v>
      </c>
      <c r="E11" s="172">
        <f t="shared" si="3"/>
        <v>-3116000</v>
      </c>
      <c r="F11" s="180">
        <f t="shared" si="4"/>
        <v>-259666.66666666666</v>
      </c>
    </row>
    <row r="12" spans="1:6" s="172" customFormat="1" ht="12" x14ac:dyDescent="0.2">
      <c r="A12" s="172">
        <f t="shared" si="2"/>
        <v>9</v>
      </c>
      <c r="B12" s="173">
        <v>2050000</v>
      </c>
      <c r="C12" s="172">
        <f t="shared" si="0"/>
        <v>22550000</v>
      </c>
      <c r="D12" s="172">
        <f t="shared" si="1"/>
        <v>984000</v>
      </c>
      <c r="E12" s="172">
        <f t="shared" si="3"/>
        <v>-3034000</v>
      </c>
      <c r="F12" s="180">
        <f t="shared" si="4"/>
        <v>-252833.33333333334</v>
      </c>
    </row>
    <row r="13" spans="1:6" s="172" customFormat="1" ht="12" x14ac:dyDescent="0.2">
      <c r="A13" s="172">
        <f t="shared" si="2"/>
        <v>10</v>
      </c>
      <c r="B13" s="173">
        <v>2050000</v>
      </c>
      <c r="C13" s="172">
        <f t="shared" si="0"/>
        <v>20500000</v>
      </c>
      <c r="D13" s="172">
        <f t="shared" si="1"/>
        <v>902000</v>
      </c>
      <c r="E13" s="172">
        <f t="shared" si="3"/>
        <v>-2952000</v>
      </c>
      <c r="F13" s="180">
        <f t="shared" si="4"/>
        <v>-246000</v>
      </c>
    </row>
    <row r="14" spans="1:6" s="172" customFormat="1" ht="12" x14ac:dyDescent="0.2">
      <c r="A14" s="172">
        <f t="shared" si="2"/>
        <v>11</v>
      </c>
      <c r="B14" s="173">
        <v>2050000</v>
      </c>
      <c r="C14" s="172">
        <f t="shared" si="0"/>
        <v>18450000</v>
      </c>
      <c r="D14" s="172">
        <f t="shared" si="1"/>
        <v>820000</v>
      </c>
      <c r="E14" s="172">
        <f t="shared" si="3"/>
        <v>-2870000</v>
      </c>
      <c r="F14" s="172">
        <f t="shared" si="4"/>
        <v>-239166.66666666666</v>
      </c>
    </row>
    <row r="15" spans="1:6" s="172" customFormat="1" ht="12" x14ac:dyDescent="0.2">
      <c r="A15" s="172">
        <f t="shared" si="2"/>
        <v>12</v>
      </c>
      <c r="B15" s="173">
        <v>2050000</v>
      </c>
      <c r="C15" s="172">
        <f t="shared" si="0"/>
        <v>16400000</v>
      </c>
      <c r="D15" s="172">
        <f t="shared" si="1"/>
        <v>738000</v>
      </c>
      <c r="E15" s="172">
        <f t="shared" si="3"/>
        <v>-2788000</v>
      </c>
      <c r="F15" s="172">
        <f t="shared" si="4"/>
        <v>-232333.33333333334</v>
      </c>
    </row>
    <row r="16" spans="1:6" s="172" customFormat="1" ht="12" x14ac:dyDescent="0.2">
      <c r="A16" s="172">
        <f t="shared" si="2"/>
        <v>13</v>
      </c>
      <c r="B16" s="173">
        <v>2050000</v>
      </c>
      <c r="C16" s="172">
        <f t="shared" si="0"/>
        <v>14350000</v>
      </c>
      <c r="D16" s="172">
        <f t="shared" si="1"/>
        <v>656000</v>
      </c>
      <c r="E16" s="172">
        <f t="shared" si="3"/>
        <v>-2706000</v>
      </c>
      <c r="F16" s="172">
        <f t="shared" si="4"/>
        <v>-225500</v>
      </c>
    </row>
    <row r="17" spans="1:21" s="172" customFormat="1" ht="12" x14ac:dyDescent="0.2">
      <c r="A17" s="172">
        <f t="shared" si="2"/>
        <v>14</v>
      </c>
      <c r="B17" s="173">
        <v>2050000</v>
      </c>
      <c r="C17" s="172">
        <f t="shared" si="0"/>
        <v>12300000</v>
      </c>
      <c r="D17" s="172">
        <f t="shared" si="1"/>
        <v>574000</v>
      </c>
      <c r="E17" s="172">
        <f t="shared" si="3"/>
        <v>-2624000</v>
      </c>
      <c r="F17" s="172">
        <f t="shared" si="4"/>
        <v>-218666.66666666666</v>
      </c>
    </row>
    <row r="18" spans="1:21" s="172" customFormat="1" ht="12" x14ac:dyDescent="0.2">
      <c r="A18" s="172">
        <f t="shared" si="2"/>
        <v>15</v>
      </c>
      <c r="B18" s="173">
        <v>2050000</v>
      </c>
      <c r="C18" s="172">
        <f t="shared" si="0"/>
        <v>10250000</v>
      </c>
      <c r="D18" s="172">
        <f t="shared" si="1"/>
        <v>492000</v>
      </c>
      <c r="E18" s="172">
        <f t="shared" si="3"/>
        <v>-2542000</v>
      </c>
      <c r="F18" s="172">
        <f t="shared" si="4"/>
        <v>-211833.33333333334</v>
      </c>
    </row>
    <row r="19" spans="1:21" s="172" customFormat="1" ht="12" x14ac:dyDescent="0.2">
      <c r="A19" s="172">
        <f t="shared" si="2"/>
        <v>16</v>
      </c>
      <c r="B19" s="173">
        <v>2050000</v>
      </c>
      <c r="C19" s="172">
        <f t="shared" si="0"/>
        <v>8200000</v>
      </c>
      <c r="D19" s="172">
        <f t="shared" si="1"/>
        <v>410000</v>
      </c>
      <c r="E19" s="172">
        <f t="shared" si="3"/>
        <v>-2460000</v>
      </c>
      <c r="F19" s="172">
        <f t="shared" si="4"/>
        <v>-205000</v>
      </c>
    </row>
    <row r="20" spans="1:21" s="172" customFormat="1" ht="12" x14ac:dyDescent="0.2">
      <c r="A20" s="172">
        <f t="shared" si="2"/>
        <v>17</v>
      </c>
      <c r="B20" s="173">
        <v>2050000</v>
      </c>
      <c r="C20" s="172">
        <f t="shared" si="0"/>
        <v>6150000</v>
      </c>
      <c r="D20" s="172">
        <f t="shared" si="1"/>
        <v>328000</v>
      </c>
      <c r="E20" s="172">
        <f t="shared" si="3"/>
        <v>-2378000</v>
      </c>
      <c r="F20" s="172">
        <f t="shared" si="4"/>
        <v>-198166.66666666666</v>
      </c>
    </row>
    <row r="21" spans="1:21" s="172" customFormat="1" ht="12" x14ac:dyDescent="0.2">
      <c r="A21" s="172">
        <f t="shared" si="2"/>
        <v>18</v>
      </c>
      <c r="B21" s="173">
        <v>2050000</v>
      </c>
      <c r="C21" s="172">
        <f t="shared" si="0"/>
        <v>4100000</v>
      </c>
      <c r="D21" s="172">
        <f t="shared" si="1"/>
        <v>246000</v>
      </c>
      <c r="E21" s="172">
        <f t="shared" si="3"/>
        <v>-2296000</v>
      </c>
      <c r="F21" s="172">
        <f t="shared" si="4"/>
        <v>-191333.33333333334</v>
      </c>
    </row>
    <row r="22" spans="1:21" s="172" customFormat="1" ht="12" x14ac:dyDescent="0.2">
      <c r="A22" s="172">
        <f t="shared" si="2"/>
        <v>19</v>
      </c>
      <c r="B22" s="173">
        <v>2050000</v>
      </c>
      <c r="C22" s="172">
        <f t="shared" si="0"/>
        <v>2050000</v>
      </c>
      <c r="D22" s="172">
        <f t="shared" si="1"/>
        <v>164000</v>
      </c>
      <c r="E22" s="172">
        <f t="shared" si="3"/>
        <v>-2214000</v>
      </c>
      <c r="F22" s="172">
        <f t="shared" si="4"/>
        <v>-184500</v>
      </c>
    </row>
    <row r="23" spans="1:21" s="172" customFormat="1" ht="12" x14ac:dyDescent="0.2">
      <c r="A23" s="172">
        <f t="shared" si="2"/>
        <v>20</v>
      </c>
      <c r="B23" s="173">
        <v>2050000</v>
      </c>
      <c r="C23" s="172">
        <f t="shared" si="0"/>
        <v>0</v>
      </c>
      <c r="D23" s="172">
        <f t="shared" si="1"/>
        <v>82000</v>
      </c>
      <c r="E23" s="172">
        <f t="shared" si="3"/>
        <v>-2132000</v>
      </c>
      <c r="F23" s="172">
        <f t="shared" si="4"/>
        <v>-177666.66666666666</v>
      </c>
    </row>
    <row r="24" spans="1:21" s="169" customFormat="1" ht="19.899999999999999" customHeight="1" x14ac:dyDescent="0.25">
      <c r="A24" s="171" t="s">
        <v>139</v>
      </c>
      <c r="B24" s="170">
        <f>SUM(B4:B23)</f>
        <v>41000000</v>
      </c>
      <c r="D24" s="169">
        <f>SUM(D4:D23)</f>
        <v>17220000</v>
      </c>
      <c r="E24" s="169">
        <f>SUM(E4:E23)</f>
        <v>-58220000</v>
      </c>
    </row>
    <row r="26" spans="1:21" x14ac:dyDescent="0.2">
      <c r="A26" s="167" t="s">
        <v>146</v>
      </c>
      <c r="B26" s="172">
        <v>-3690000</v>
      </c>
      <c r="C26" s="172">
        <v>-3608000</v>
      </c>
      <c r="D26" s="172">
        <v>-3526000</v>
      </c>
      <c r="E26" s="172">
        <v>-3444000</v>
      </c>
      <c r="F26" s="172">
        <v>-3362000</v>
      </c>
      <c r="G26" s="172">
        <v>-3280000</v>
      </c>
      <c r="H26" s="172">
        <v>-3198000</v>
      </c>
      <c r="I26" s="172">
        <v>-3116000</v>
      </c>
      <c r="J26" s="172">
        <v>-3034000</v>
      </c>
      <c r="K26" s="172">
        <v>-2952000</v>
      </c>
    </row>
    <row r="27" spans="1:21" x14ac:dyDescent="0.2">
      <c r="A27" s="167" t="s">
        <v>147</v>
      </c>
      <c r="B27" s="172">
        <v>-2870000</v>
      </c>
      <c r="C27" s="172">
        <v>-2788000</v>
      </c>
      <c r="D27" s="172">
        <v>-2706000</v>
      </c>
      <c r="E27" s="172">
        <v>-2624000</v>
      </c>
      <c r="F27" s="172">
        <v>-2542000</v>
      </c>
      <c r="G27" s="172">
        <v>-2460000</v>
      </c>
      <c r="H27" s="172">
        <v>-2378000</v>
      </c>
      <c r="I27" s="172">
        <v>-2296000</v>
      </c>
      <c r="J27" s="172">
        <v>-2214000</v>
      </c>
      <c r="K27" s="172">
        <v>-2132000</v>
      </c>
      <c r="L27" s="172"/>
      <c r="M27" s="172"/>
      <c r="N27" s="172"/>
      <c r="O27" s="172"/>
      <c r="P27" s="172"/>
      <c r="Q27" s="172"/>
      <c r="R27" s="172"/>
      <c r="S27" s="172"/>
      <c r="T27" s="172"/>
      <c r="U27" s="172"/>
    </row>
    <row r="28" spans="1:21" x14ac:dyDescent="0.2">
      <c r="B28" s="172"/>
      <c r="C28" s="172"/>
      <c r="D28" s="172"/>
      <c r="E28" s="172"/>
      <c r="F28" s="172"/>
      <c r="G28" s="172"/>
      <c r="H28" s="172"/>
      <c r="I28" s="172"/>
      <c r="J28" s="172"/>
      <c r="K28" s="172"/>
      <c r="L28" s="172"/>
      <c r="M28" s="172"/>
      <c r="N28" s="172"/>
      <c r="O28" s="172"/>
      <c r="P28" s="172"/>
      <c r="Q28" s="172"/>
      <c r="R28" s="172"/>
      <c r="S28" s="172"/>
      <c r="T28" s="172"/>
      <c r="U28" s="172"/>
    </row>
    <row r="29" spans="1:21" x14ac:dyDescent="0.2">
      <c r="B29" s="172"/>
      <c r="C29" s="172"/>
      <c r="D29" s="172"/>
      <c r="E29" s="172"/>
      <c r="F29" s="172"/>
      <c r="G29" s="172"/>
      <c r="H29" s="172"/>
      <c r="I29" s="172"/>
      <c r="J29" s="172"/>
      <c r="K29" s="172"/>
      <c r="L29" s="172"/>
      <c r="M29" s="172"/>
      <c r="N29" s="172"/>
      <c r="O29" s="172"/>
      <c r="P29" s="172"/>
      <c r="Q29" s="172"/>
      <c r="R29" s="172"/>
      <c r="S29" s="172"/>
      <c r="T29" s="172"/>
      <c r="U29" s="172"/>
    </row>
    <row r="30" spans="1:21" ht="24" x14ac:dyDescent="0.2">
      <c r="A30" s="174"/>
      <c r="B30" s="175" t="s">
        <v>143</v>
      </c>
      <c r="C30" s="174" t="s">
        <v>142</v>
      </c>
      <c r="D30" s="174" t="s">
        <v>141</v>
      </c>
      <c r="E30" s="174" t="s">
        <v>140</v>
      </c>
      <c r="F30" s="174"/>
    </row>
    <row r="31" spans="1:21" x14ac:dyDescent="0.2">
      <c r="A31" s="176"/>
      <c r="B31" s="177"/>
      <c r="C31" s="176">
        <v>5000000</v>
      </c>
      <c r="D31" s="178">
        <v>0.04</v>
      </c>
      <c r="E31" s="176"/>
      <c r="F31" s="176"/>
    </row>
    <row r="32" spans="1:21" x14ac:dyDescent="0.2">
      <c r="A32" s="172">
        <v>1</v>
      </c>
      <c r="B32" s="173">
        <f>SUM(C31/20)</f>
        <v>250000</v>
      </c>
      <c r="C32" s="172">
        <f t="shared" ref="C32:C51" si="5">+C31-B32</f>
        <v>4750000</v>
      </c>
      <c r="D32" s="172">
        <f t="shared" ref="D32:D51" si="6">+C31*D$3</f>
        <v>200000</v>
      </c>
      <c r="E32" s="172">
        <f>(+B32+D32)*-1</f>
        <v>-450000</v>
      </c>
      <c r="F32" s="180"/>
    </row>
    <row r="33" spans="1:12" x14ac:dyDescent="0.2">
      <c r="A33" s="172">
        <f t="shared" ref="A33:A51" si="7">+A32+1</f>
        <v>2</v>
      </c>
      <c r="B33" s="173">
        <v>250000</v>
      </c>
      <c r="C33" s="172">
        <f t="shared" si="5"/>
        <v>4500000</v>
      </c>
      <c r="D33" s="172">
        <f t="shared" si="6"/>
        <v>190000</v>
      </c>
      <c r="E33" s="172">
        <f t="shared" ref="E33:E51" si="8">(+B33+D33)*-1</f>
        <v>-440000</v>
      </c>
      <c r="F33" s="180"/>
    </row>
    <row r="34" spans="1:12" x14ac:dyDescent="0.2">
      <c r="A34" s="172">
        <f t="shared" si="7"/>
        <v>3</v>
      </c>
      <c r="B34" s="173">
        <v>250000</v>
      </c>
      <c r="C34" s="172">
        <f t="shared" si="5"/>
        <v>4250000</v>
      </c>
      <c r="D34" s="172">
        <f t="shared" si="6"/>
        <v>180000</v>
      </c>
      <c r="E34" s="172">
        <f t="shared" si="8"/>
        <v>-430000</v>
      </c>
      <c r="F34" s="180"/>
    </row>
    <row r="35" spans="1:12" x14ac:dyDescent="0.2">
      <c r="A35" s="172">
        <f t="shared" si="7"/>
        <v>4</v>
      </c>
      <c r="B35" s="173">
        <v>250000</v>
      </c>
      <c r="C35" s="172">
        <f t="shared" si="5"/>
        <v>4000000</v>
      </c>
      <c r="D35" s="172">
        <f t="shared" si="6"/>
        <v>170000</v>
      </c>
      <c r="E35" s="172">
        <f t="shared" si="8"/>
        <v>-420000</v>
      </c>
      <c r="F35" s="180"/>
    </row>
    <row r="36" spans="1:12" x14ac:dyDescent="0.2">
      <c r="A36" s="172">
        <f t="shared" si="7"/>
        <v>5</v>
      </c>
      <c r="B36" s="173">
        <v>250000</v>
      </c>
      <c r="C36" s="172">
        <f t="shared" si="5"/>
        <v>3750000</v>
      </c>
      <c r="D36" s="172">
        <f t="shared" si="6"/>
        <v>160000</v>
      </c>
      <c r="E36" s="172">
        <f t="shared" si="8"/>
        <v>-410000</v>
      </c>
      <c r="F36" s="180"/>
    </row>
    <row r="37" spans="1:12" x14ac:dyDescent="0.2">
      <c r="A37" s="172">
        <f t="shared" si="7"/>
        <v>6</v>
      </c>
      <c r="B37" s="173">
        <v>250000</v>
      </c>
      <c r="C37" s="172">
        <f t="shared" si="5"/>
        <v>3500000</v>
      </c>
      <c r="D37" s="172">
        <f t="shared" si="6"/>
        <v>150000</v>
      </c>
      <c r="E37" s="172">
        <f t="shared" si="8"/>
        <v>-400000</v>
      </c>
      <c r="F37" s="180"/>
      <c r="L37" s="167" t="s">
        <v>0</v>
      </c>
    </row>
    <row r="38" spans="1:12" x14ac:dyDescent="0.2">
      <c r="A38" s="172">
        <f t="shared" si="7"/>
        <v>7</v>
      </c>
      <c r="B38" s="173">
        <v>250000</v>
      </c>
      <c r="C38" s="172">
        <f t="shared" si="5"/>
        <v>3250000</v>
      </c>
      <c r="D38" s="172">
        <f t="shared" si="6"/>
        <v>140000</v>
      </c>
      <c r="E38" s="172">
        <f t="shared" si="8"/>
        <v>-390000</v>
      </c>
      <c r="F38" s="180"/>
    </row>
    <row r="39" spans="1:12" x14ac:dyDescent="0.2">
      <c r="A39" s="172">
        <f t="shared" si="7"/>
        <v>8</v>
      </c>
      <c r="B39" s="173">
        <v>250000</v>
      </c>
      <c r="C39" s="172">
        <f t="shared" si="5"/>
        <v>3000000</v>
      </c>
      <c r="D39" s="172">
        <f t="shared" si="6"/>
        <v>130000</v>
      </c>
      <c r="E39" s="172">
        <f t="shared" si="8"/>
        <v>-380000</v>
      </c>
      <c r="F39" s="180"/>
    </row>
    <row r="40" spans="1:12" x14ac:dyDescent="0.2">
      <c r="A40" s="172">
        <f t="shared" si="7"/>
        <v>9</v>
      </c>
      <c r="B40" s="173">
        <v>250000</v>
      </c>
      <c r="C40" s="172">
        <f t="shared" si="5"/>
        <v>2750000</v>
      </c>
      <c r="D40" s="172">
        <f t="shared" si="6"/>
        <v>120000</v>
      </c>
      <c r="E40" s="172">
        <f t="shared" si="8"/>
        <v>-370000</v>
      </c>
      <c r="F40" s="180"/>
    </row>
    <row r="41" spans="1:12" x14ac:dyDescent="0.2">
      <c r="A41" s="172">
        <f t="shared" si="7"/>
        <v>10</v>
      </c>
      <c r="B41" s="173">
        <v>250000</v>
      </c>
      <c r="C41" s="172">
        <f t="shared" si="5"/>
        <v>2500000</v>
      </c>
      <c r="D41" s="172">
        <f t="shared" si="6"/>
        <v>110000</v>
      </c>
      <c r="E41" s="172">
        <f t="shared" si="8"/>
        <v>-360000</v>
      </c>
      <c r="F41" s="180"/>
    </row>
    <row r="42" spans="1:12" x14ac:dyDescent="0.2">
      <c r="A42" s="172">
        <f t="shared" si="7"/>
        <v>11</v>
      </c>
      <c r="B42" s="173">
        <v>250000</v>
      </c>
      <c r="C42" s="172">
        <f t="shared" si="5"/>
        <v>2250000</v>
      </c>
      <c r="D42" s="172">
        <f t="shared" si="6"/>
        <v>100000</v>
      </c>
      <c r="E42" s="172">
        <f t="shared" si="8"/>
        <v>-350000</v>
      </c>
      <c r="F42" s="172"/>
    </row>
    <row r="43" spans="1:12" x14ac:dyDescent="0.2">
      <c r="A43" s="172">
        <f t="shared" si="7"/>
        <v>12</v>
      </c>
      <c r="B43" s="173">
        <v>250000</v>
      </c>
      <c r="C43" s="172">
        <f t="shared" si="5"/>
        <v>2000000</v>
      </c>
      <c r="D43" s="172">
        <f t="shared" si="6"/>
        <v>90000</v>
      </c>
      <c r="E43" s="172">
        <f t="shared" si="8"/>
        <v>-340000</v>
      </c>
      <c r="F43" s="172"/>
    </row>
    <row r="44" spans="1:12" x14ac:dyDescent="0.2">
      <c r="A44" s="172">
        <f t="shared" si="7"/>
        <v>13</v>
      </c>
      <c r="B44" s="173">
        <v>250000</v>
      </c>
      <c r="C44" s="172">
        <f t="shared" si="5"/>
        <v>1750000</v>
      </c>
      <c r="D44" s="172">
        <f t="shared" si="6"/>
        <v>80000</v>
      </c>
      <c r="E44" s="172">
        <f t="shared" si="8"/>
        <v>-330000</v>
      </c>
      <c r="F44" s="172"/>
    </row>
    <row r="45" spans="1:12" x14ac:dyDescent="0.2">
      <c r="A45" s="172">
        <f t="shared" si="7"/>
        <v>14</v>
      </c>
      <c r="B45" s="173">
        <v>250000</v>
      </c>
      <c r="C45" s="172">
        <f t="shared" si="5"/>
        <v>1500000</v>
      </c>
      <c r="D45" s="172">
        <f t="shared" si="6"/>
        <v>70000</v>
      </c>
      <c r="E45" s="172">
        <f t="shared" si="8"/>
        <v>-320000</v>
      </c>
      <c r="F45" s="172"/>
    </row>
    <row r="46" spans="1:12" x14ac:dyDescent="0.2">
      <c r="A46" s="172">
        <f t="shared" si="7"/>
        <v>15</v>
      </c>
      <c r="B46" s="173">
        <v>250000</v>
      </c>
      <c r="C46" s="172">
        <f t="shared" si="5"/>
        <v>1250000</v>
      </c>
      <c r="D46" s="172">
        <f t="shared" si="6"/>
        <v>60000</v>
      </c>
      <c r="E46" s="172">
        <f t="shared" si="8"/>
        <v>-310000</v>
      </c>
      <c r="F46" s="172"/>
    </row>
    <row r="47" spans="1:12" x14ac:dyDescent="0.2">
      <c r="A47" s="172">
        <f t="shared" si="7"/>
        <v>16</v>
      </c>
      <c r="B47" s="173">
        <v>250000</v>
      </c>
      <c r="C47" s="172">
        <f t="shared" si="5"/>
        <v>1000000</v>
      </c>
      <c r="D47" s="172">
        <f t="shared" si="6"/>
        <v>50000</v>
      </c>
      <c r="E47" s="172">
        <f t="shared" si="8"/>
        <v>-300000</v>
      </c>
      <c r="F47" s="172"/>
    </row>
    <row r="48" spans="1:12" x14ac:dyDescent="0.2">
      <c r="A48" s="172">
        <f t="shared" si="7"/>
        <v>17</v>
      </c>
      <c r="B48" s="173">
        <v>250000</v>
      </c>
      <c r="C48" s="172">
        <f t="shared" si="5"/>
        <v>750000</v>
      </c>
      <c r="D48" s="172">
        <f t="shared" si="6"/>
        <v>40000</v>
      </c>
      <c r="E48" s="172">
        <f t="shared" si="8"/>
        <v>-290000</v>
      </c>
      <c r="F48" s="172"/>
    </row>
    <row r="49" spans="1:11" x14ac:dyDescent="0.2">
      <c r="A49" s="172">
        <f t="shared" si="7"/>
        <v>18</v>
      </c>
      <c r="B49" s="173">
        <v>250000</v>
      </c>
      <c r="C49" s="172">
        <f t="shared" si="5"/>
        <v>500000</v>
      </c>
      <c r="D49" s="172">
        <f t="shared" si="6"/>
        <v>30000</v>
      </c>
      <c r="E49" s="172">
        <f t="shared" si="8"/>
        <v>-280000</v>
      </c>
      <c r="F49" s="172"/>
    </row>
    <row r="50" spans="1:11" x14ac:dyDescent="0.2">
      <c r="A50" s="172">
        <f t="shared" si="7"/>
        <v>19</v>
      </c>
      <c r="B50" s="173">
        <v>250000</v>
      </c>
      <c r="C50" s="172">
        <f t="shared" si="5"/>
        <v>250000</v>
      </c>
      <c r="D50" s="172">
        <f t="shared" si="6"/>
        <v>20000</v>
      </c>
      <c r="E50" s="172">
        <f t="shared" si="8"/>
        <v>-270000</v>
      </c>
      <c r="F50" s="172"/>
    </row>
    <row r="51" spans="1:11" x14ac:dyDescent="0.2">
      <c r="A51" s="172">
        <f t="shared" si="7"/>
        <v>20</v>
      </c>
      <c r="B51" s="173">
        <v>250000</v>
      </c>
      <c r="C51" s="172">
        <f t="shared" si="5"/>
        <v>0</v>
      </c>
      <c r="D51" s="172">
        <f t="shared" si="6"/>
        <v>10000</v>
      </c>
      <c r="E51" s="172">
        <f t="shared" si="8"/>
        <v>-260000</v>
      </c>
      <c r="F51" s="172"/>
    </row>
    <row r="52" spans="1:11" ht="26.45" customHeight="1" x14ac:dyDescent="0.2">
      <c r="A52" s="171" t="s">
        <v>139</v>
      </c>
      <c r="B52" s="170">
        <f>SUM(B32:B51)</f>
        <v>5000000</v>
      </c>
      <c r="C52" s="169"/>
      <c r="D52" s="169">
        <f>SUM(D32:D51)</f>
        <v>2100000</v>
      </c>
      <c r="E52" s="169">
        <f>SUM(E32:E51)</f>
        <v>-7100000</v>
      </c>
      <c r="F52" s="169"/>
    </row>
    <row r="54" spans="1:11" x14ac:dyDescent="0.2">
      <c r="A54" s="167" t="s">
        <v>146</v>
      </c>
      <c r="B54" s="168">
        <v>-450000</v>
      </c>
      <c r="C54" s="167">
        <v>-440000</v>
      </c>
      <c r="D54" s="167">
        <v>-430000</v>
      </c>
      <c r="E54" s="167">
        <v>-420000</v>
      </c>
      <c r="F54" s="167">
        <v>-410000</v>
      </c>
      <c r="G54" s="167">
        <v>-400000</v>
      </c>
      <c r="H54" s="167">
        <v>-390000</v>
      </c>
      <c r="I54" s="167">
        <v>-380000</v>
      </c>
      <c r="J54" s="167">
        <v>-370000</v>
      </c>
      <c r="K54" s="167">
        <v>-360000</v>
      </c>
    </row>
    <row r="55" spans="1:11" x14ac:dyDescent="0.2">
      <c r="A55" s="167" t="s">
        <v>147</v>
      </c>
      <c r="B55" s="167">
        <v>-350000</v>
      </c>
      <c r="C55" s="167">
        <v>-340000</v>
      </c>
      <c r="D55" s="167">
        <v>-330000</v>
      </c>
      <c r="E55" s="167">
        <v>-320000</v>
      </c>
      <c r="F55" s="167">
        <v>-310000</v>
      </c>
      <c r="G55" s="167">
        <v>-300000</v>
      </c>
      <c r="H55" s="167">
        <v>-290000</v>
      </c>
      <c r="I55" s="167">
        <v>-280000</v>
      </c>
      <c r="J55" s="167">
        <v>-270000</v>
      </c>
      <c r="K55" s="167">
        <v>-260000</v>
      </c>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legend</vt:lpstr>
      <vt:lpstr>5-10% leakage  </vt:lpstr>
      <vt:lpstr>10-20% leakage   (2)</vt:lpstr>
      <vt:lpstr>20-40% leakage   (3)</vt:lpstr>
      <vt:lpstr>parameters &amp; calculation logic</vt:lpstr>
      <vt:lpstr>bond calc.</vt:lpstr>
      <vt:lpstr>legend!_Toc260076017</vt:lpstr>
      <vt:lpstr>legend!_Toc260076018</vt:lpstr>
      <vt:lpstr>legend!_Toc478734371</vt:lpstr>
      <vt:lpstr>legend!_Toc478734372</vt:lpstr>
      <vt:lpstr>legend!_Toc478734382</vt:lpstr>
      <vt:lpstr>'10-20% leakage   (2)'!Print_Area</vt:lpstr>
      <vt:lpstr>'20-40% leakage   (3)'!Print_Area</vt:lpstr>
      <vt:lpstr>'5-10% leakage  '!Print_Area</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 &amp; Kathy</dc:creator>
  <cp:lastModifiedBy>Richardson, Marybeth</cp:lastModifiedBy>
  <cp:lastPrinted>2017-04-07T14:55:57Z</cp:lastPrinted>
  <dcterms:created xsi:type="dcterms:W3CDTF">2010-01-22T21:00:36Z</dcterms:created>
  <dcterms:modified xsi:type="dcterms:W3CDTF">2017-04-10T12:41:53Z</dcterms:modified>
</cp:coreProperties>
</file>