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L&amp;W\LAND-RR\Dams-Hydro\Hydro\Projects\Ellsworth_2727\Ellsworth Hydro re-license\WQC\WQC 2025\FTP Site\Water Quality\"/>
    </mc:Choice>
  </mc:AlternateContent>
  <xr:revisionPtr revIDLastSave="0" documentId="13_ncr:1_{C3E7F90C-2915-4FE3-B618-B7A74617C6D1}" xr6:coauthVersionLast="47" xr6:coauthVersionMax="47" xr10:uidLastSave="{00000000-0000-0000-0000-000000000000}"/>
  <bookViews>
    <workbookView xWindow="-108" yWindow="-108" windowWidth="23256" windowHeight="12456" firstSheet="2" activeTab="3" xr2:uid="{00000000-000D-0000-FFFF-FFFF00000000}"/>
  </bookViews>
  <sheets>
    <sheet name="MDEP Bathymetry" sheetId="16" r:id="rId1"/>
    <sheet name="Littoral Analysis (MDEP-1)" sheetId="3" r:id="rId2"/>
    <sheet name="Littoral Analysis (MDEP-2)" sheetId="18" r:id="rId3"/>
    <sheet name="Littoral Analysis (MDEP-3)" sheetId="19" r:id="rId4"/>
    <sheet name="Littoral Analysis (MDEP-4)" sheetId="20" r:id="rId5"/>
    <sheet name="Littoral Analysis (BBHP)" sheetId="17" r:id="rId6"/>
    <sheet name="Summary" sheetId="21"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7" l="1"/>
  <c r="C13" i="17"/>
  <c r="C11" i="17"/>
  <c r="N34" i="17"/>
  <c r="M34" i="17"/>
  <c r="K34" i="17"/>
  <c r="J29" i="19"/>
  <c r="D8" i="21"/>
  <c r="D7" i="21"/>
  <c r="D6" i="21"/>
  <c r="D5" i="21"/>
  <c r="D4" i="21"/>
  <c r="C8" i="21"/>
  <c r="C7" i="21"/>
  <c r="C6" i="21"/>
  <c r="C5" i="21"/>
  <c r="C4" i="21"/>
  <c r="A40" i="20"/>
  <c r="A31" i="20"/>
  <c r="A35" i="20"/>
  <c r="A36" i="20"/>
  <c r="A37" i="20"/>
  <c r="A38" i="20"/>
  <c r="A25" i="20"/>
  <c r="A27" i="20" s="1"/>
  <c r="C26" i="20"/>
  <c r="C27" i="20"/>
  <c r="C28" i="20"/>
  <c r="C29" i="20"/>
  <c r="C30" i="20"/>
  <c r="C31" i="20"/>
  <c r="C32" i="20"/>
  <c r="C33" i="20"/>
  <c r="C34" i="20"/>
  <c r="C35" i="20"/>
  <c r="C36" i="20"/>
  <c r="C37" i="20"/>
  <c r="C38" i="20"/>
  <c r="C39" i="20"/>
  <c r="C40" i="20"/>
  <c r="C25" i="20"/>
  <c r="C24" i="20"/>
  <c r="A34" i="20" l="1"/>
  <c r="A33" i="20"/>
  <c r="A32" i="20"/>
  <c r="D32" i="20" s="1"/>
  <c r="A30" i="20"/>
  <c r="D29" i="20" s="1"/>
  <c r="A29" i="20"/>
  <c r="D28" i="20" s="1"/>
  <c r="A26" i="20"/>
  <c r="D25" i="20" s="1"/>
  <c r="A28" i="20"/>
  <c r="B28" i="20" s="1"/>
  <c r="F28" i="20" s="1"/>
  <c r="A39" i="20"/>
  <c r="B39" i="20" s="1"/>
  <c r="B40" i="20"/>
  <c r="D36" i="20"/>
  <c r="D35" i="20"/>
  <c r="D40" i="20"/>
  <c r="D39" i="20"/>
  <c r="E39" i="20" s="1"/>
  <c r="D27" i="20"/>
  <c r="D34" i="20"/>
  <c r="D33" i="20"/>
  <c r="D38" i="20"/>
  <c r="D37" i="20"/>
  <c r="B38" i="20"/>
  <c r="B37" i="20"/>
  <c r="B36" i="20"/>
  <c r="B35" i="20"/>
  <c r="B34" i="20"/>
  <c r="B33" i="20"/>
  <c r="B31" i="20"/>
  <c r="B27" i="20"/>
  <c r="A24" i="20"/>
  <c r="D24" i="20" s="1"/>
  <c r="C9" i="20"/>
  <c r="F24" i="20" s="1"/>
  <c r="C8" i="20"/>
  <c r="C10" i="20" s="1"/>
  <c r="G24" i="20" s="1"/>
  <c r="O24" i="20" s="1"/>
  <c r="C25" i="19"/>
  <c r="C26" i="19"/>
  <c r="C27" i="19"/>
  <c r="C28" i="19"/>
  <c r="D28" i="19" s="1"/>
  <c r="C29" i="19"/>
  <c r="D29" i="19" s="1"/>
  <c r="C30" i="19"/>
  <c r="C31" i="19"/>
  <c r="C32" i="19"/>
  <c r="C33" i="19"/>
  <c r="D33" i="19" s="1"/>
  <c r="C34" i="19"/>
  <c r="C35" i="19"/>
  <c r="C36" i="19"/>
  <c r="C37" i="19"/>
  <c r="C38" i="19"/>
  <c r="C39" i="19"/>
  <c r="C24" i="19"/>
  <c r="D24" i="19" s="1"/>
  <c r="A39" i="19"/>
  <c r="B39" i="19" s="1"/>
  <c r="A38" i="19"/>
  <c r="B38" i="19" s="1"/>
  <c r="D37" i="19"/>
  <c r="B37" i="19"/>
  <c r="A37" i="19"/>
  <c r="D36" i="19"/>
  <c r="A36" i="19"/>
  <c r="B36" i="19" s="1"/>
  <c r="A35" i="19"/>
  <c r="B35" i="19" s="1"/>
  <c r="A34" i="19"/>
  <c r="B34" i="19" s="1"/>
  <c r="B33" i="19"/>
  <c r="A33" i="19"/>
  <c r="D32" i="19"/>
  <c r="A32" i="19"/>
  <c r="B32" i="19" s="1"/>
  <c r="A31" i="19"/>
  <c r="B31" i="19" s="1"/>
  <c r="A30" i="19"/>
  <c r="B30" i="19" s="1"/>
  <c r="B29" i="19"/>
  <c r="A29" i="19"/>
  <c r="A28" i="19"/>
  <c r="B28" i="19" s="1"/>
  <c r="A27" i="19"/>
  <c r="B27" i="19" s="1"/>
  <c r="A26" i="19"/>
  <c r="B26" i="19" s="1"/>
  <c r="D25" i="19"/>
  <c r="B25" i="19"/>
  <c r="F24" i="19" s="1"/>
  <c r="A25" i="19"/>
  <c r="A24" i="19"/>
  <c r="C11" i="19"/>
  <c r="C9" i="19"/>
  <c r="C8" i="19"/>
  <c r="C10" i="19" s="1"/>
  <c r="G24" i="19" s="1"/>
  <c r="O24" i="19" s="1"/>
  <c r="C24" i="18"/>
  <c r="A25" i="18"/>
  <c r="A26" i="18"/>
  <c r="A27" i="18"/>
  <c r="A28" i="18"/>
  <c r="A29" i="18"/>
  <c r="B29" i="18" s="1"/>
  <c r="A30" i="18"/>
  <c r="B30" i="18" s="1"/>
  <c r="A31" i="18"/>
  <c r="B31" i="18" s="1"/>
  <c r="A32" i="18"/>
  <c r="A33" i="18"/>
  <c r="A34" i="18"/>
  <c r="A35" i="18"/>
  <c r="A36" i="18"/>
  <c r="B36" i="18" s="1"/>
  <c r="A37" i="18"/>
  <c r="A38" i="18"/>
  <c r="A39" i="18"/>
  <c r="A24" i="18"/>
  <c r="A25" i="3"/>
  <c r="A26" i="3"/>
  <c r="A27" i="3"/>
  <c r="A28" i="3"/>
  <c r="A29" i="3"/>
  <c r="A30" i="3"/>
  <c r="A31" i="3"/>
  <c r="A32" i="3"/>
  <c r="A33" i="3"/>
  <c r="A34" i="3"/>
  <c r="A35" i="3"/>
  <c r="A36" i="3"/>
  <c r="A37" i="3"/>
  <c r="A38" i="3"/>
  <c r="A39" i="3"/>
  <c r="A24" i="3"/>
  <c r="C25" i="3"/>
  <c r="C26" i="3"/>
  <c r="C27" i="3"/>
  <c r="C28" i="3"/>
  <c r="C29" i="3"/>
  <c r="C30" i="3"/>
  <c r="C31" i="3"/>
  <c r="C32" i="3"/>
  <c r="C33" i="3"/>
  <c r="C34" i="3"/>
  <c r="C35" i="3"/>
  <c r="C36" i="3"/>
  <c r="C37" i="3"/>
  <c r="C38" i="3"/>
  <c r="C39" i="3"/>
  <c r="C24" i="3"/>
  <c r="C25" i="18"/>
  <c r="D25" i="18" s="1"/>
  <c r="C26" i="18"/>
  <c r="C27" i="18"/>
  <c r="D26" i="18" s="1"/>
  <c r="C28" i="18"/>
  <c r="C29" i="18"/>
  <c r="C30" i="18"/>
  <c r="C31" i="18"/>
  <c r="C32" i="18"/>
  <c r="D32" i="18" s="1"/>
  <c r="C33" i="18"/>
  <c r="C34" i="18"/>
  <c r="C35" i="18"/>
  <c r="C36" i="18"/>
  <c r="C37" i="18"/>
  <c r="C38" i="18"/>
  <c r="D38" i="18" s="1"/>
  <c r="E38" i="18" s="1"/>
  <c r="C39" i="18"/>
  <c r="D37" i="18"/>
  <c r="D27" i="18"/>
  <c r="D28" i="18"/>
  <c r="D34" i="18"/>
  <c r="B39" i="18"/>
  <c r="B38" i="18"/>
  <c r="B37" i="18"/>
  <c r="D35" i="18"/>
  <c r="B35" i="18"/>
  <c r="B34" i="18"/>
  <c r="B33" i="18"/>
  <c r="B32" i="18"/>
  <c r="B28" i="18"/>
  <c r="B27" i="18"/>
  <c r="B26" i="18"/>
  <c r="B25" i="18"/>
  <c r="C9" i="18"/>
  <c r="F26" i="18" s="1"/>
  <c r="C8" i="18"/>
  <c r="C10" i="18" s="1"/>
  <c r="G26" i="18" s="1"/>
  <c r="O26" i="18" s="1"/>
  <c r="B26" i="17"/>
  <c r="B27" i="17"/>
  <c r="B28" i="17"/>
  <c r="B29" i="17"/>
  <c r="B30" i="17"/>
  <c r="B31" i="17"/>
  <c r="B32" i="17"/>
  <c r="B33" i="17"/>
  <c r="B34" i="17"/>
  <c r="B25" i="17"/>
  <c r="D34" i="17"/>
  <c r="D33" i="17"/>
  <c r="D32" i="17"/>
  <c r="D31" i="17"/>
  <c r="E31" i="17" s="1"/>
  <c r="D30" i="17"/>
  <c r="D29" i="17"/>
  <c r="D28" i="17"/>
  <c r="D27" i="17"/>
  <c r="D26" i="17"/>
  <c r="D25" i="17"/>
  <c r="E25" i="17" s="1"/>
  <c r="D24" i="17"/>
  <c r="C9" i="17"/>
  <c r="C8" i="17"/>
  <c r="C10" i="17" s="1"/>
  <c r="I26" i="18" l="1"/>
  <c r="G29" i="18"/>
  <c r="O29" i="18" s="1"/>
  <c r="G27" i="19"/>
  <c r="O27" i="19" s="1"/>
  <c r="G34" i="18"/>
  <c r="O34" i="18" s="1"/>
  <c r="F33" i="18"/>
  <c r="G35" i="18"/>
  <c r="O35" i="18" s="1"/>
  <c r="F37" i="18"/>
  <c r="G31" i="18"/>
  <c r="O31" i="18" s="1"/>
  <c r="G30" i="18"/>
  <c r="O30" i="18" s="1"/>
  <c r="G38" i="18"/>
  <c r="O38" i="18" s="1"/>
  <c r="G28" i="18"/>
  <c r="O28" i="18" s="1"/>
  <c r="F24" i="18"/>
  <c r="I24" i="18" s="1"/>
  <c r="H24" i="18" s="1"/>
  <c r="D31" i="20"/>
  <c r="F40" i="20"/>
  <c r="D30" i="20"/>
  <c r="B32" i="20"/>
  <c r="D26" i="20"/>
  <c r="B29" i="20"/>
  <c r="G29" i="20" s="1"/>
  <c r="O29" i="20" s="1"/>
  <c r="B30" i="20"/>
  <c r="G31" i="20" s="1"/>
  <c r="O31" i="20" s="1"/>
  <c r="B26" i="20"/>
  <c r="G40" i="20"/>
  <c r="I40" i="20" s="1"/>
  <c r="H40" i="20" s="1"/>
  <c r="E38" i="20"/>
  <c r="E37" i="20" s="1"/>
  <c r="E36" i="20" s="1"/>
  <c r="E35" i="20" s="1"/>
  <c r="E34" i="20" s="1"/>
  <c r="E33" i="20" s="1"/>
  <c r="E32" i="20" s="1"/>
  <c r="E31" i="20" s="1"/>
  <c r="E30" i="20" s="1"/>
  <c r="E29" i="20" s="1"/>
  <c r="E28" i="20" s="1"/>
  <c r="E27" i="20" s="1"/>
  <c r="E26" i="20" s="1"/>
  <c r="E25" i="20" s="1"/>
  <c r="E24" i="20" s="1"/>
  <c r="C11" i="20"/>
  <c r="G35" i="20"/>
  <c r="O35" i="20" s="1"/>
  <c r="G37" i="20"/>
  <c r="O37" i="20" s="1"/>
  <c r="F32" i="20"/>
  <c r="G25" i="20"/>
  <c r="O25" i="20" s="1"/>
  <c r="G28" i="20"/>
  <c r="O28" i="20" s="1"/>
  <c r="G33" i="20"/>
  <c r="O33" i="20" s="1"/>
  <c r="G36" i="20"/>
  <c r="O36" i="20" s="1"/>
  <c r="I24" i="20"/>
  <c r="H24" i="20" s="1"/>
  <c r="F37" i="20"/>
  <c r="F31" i="20"/>
  <c r="G39" i="20"/>
  <c r="O39" i="20" s="1"/>
  <c r="F39" i="20"/>
  <c r="G32" i="20"/>
  <c r="O32" i="20" s="1"/>
  <c r="F34" i="20"/>
  <c r="G34" i="20"/>
  <c r="O34" i="20" s="1"/>
  <c r="F38" i="20"/>
  <c r="G38" i="20"/>
  <c r="O38" i="20" s="1"/>
  <c r="F27" i="20"/>
  <c r="G27" i="20"/>
  <c r="O27" i="20" s="1"/>
  <c r="G30" i="20"/>
  <c r="O30" i="20" s="1"/>
  <c r="F36" i="20"/>
  <c r="F26" i="20"/>
  <c r="G26" i="20"/>
  <c r="O26" i="20" s="1"/>
  <c r="F35" i="20"/>
  <c r="F25" i="20"/>
  <c r="F33" i="20"/>
  <c r="I24" i="19"/>
  <c r="H24" i="19" s="1"/>
  <c r="G33" i="19"/>
  <c r="O33" i="19" s="1"/>
  <c r="F35" i="19"/>
  <c r="G31" i="19"/>
  <c r="O31" i="19" s="1"/>
  <c r="F34" i="19"/>
  <c r="G34" i="19"/>
  <c r="O34" i="19" s="1"/>
  <c r="D30" i="19"/>
  <c r="G37" i="19"/>
  <c r="O37" i="19" s="1"/>
  <c r="F28" i="19"/>
  <c r="G28" i="19"/>
  <c r="O28" i="19" s="1"/>
  <c r="D26" i="19"/>
  <c r="G35" i="19"/>
  <c r="O35" i="19" s="1"/>
  <c r="F38" i="19"/>
  <c r="G38" i="19"/>
  <c r="O38" i="19" s="1"/>
  <c r="G30" i="19"/>
  <c r="O30" i="19" s="1"/>
  <c r="F30" i="19"/>
  <c r="F32" i="19"/>
  <c r="G32" i="19"/>
  <c r="O32" i="19" s="1"/>
  <c r="G25" i="19"/>
  <c r="O25" i="19" s="1"/>
  <c r="D34" i="19"/>
  <c r="G26" i="19"/>
  <c r="O26" i="19" s="1"/>
  <c r="F26" i="19"/>
  <c r="G36" i="19"/>
  <c r="O36" i="19" s="1"/>
  <c r="F36" i="19"/>
  <c r="G39" i="19"/>
  <c r="O39" i="19" s="1"/>
  <c r="F39" i="19"/>
  <c r="G29" i="19"/>
  <c r="O29" i="19" s="1"/>
  <c r="D38" i="19"/>
  <c r="E38" i="19" s="1"/>
  <c r="E37" i="19" s="1"/>
  <c r="E36" i="19" s="1"/>
  <c r="F25" i="19"/>
  <c r="F29" i="19"/>
  <c r="F33" i="19"/>
  <c r="F37" i="19"/>
  <c r="D27" i="19"/>
  <c r="D31" i="19"/>
  <c r="F27" i="19"/>
  <c r="F31" i="19"/>
  <c r="D35" i="19"/>
  <c r="D29" i="18"/>
  <c r="F38" i="18"/>
  <c r="F25" i="18"/>
  <c r="D33" i="18"/>
  <c r="F28" i="18"/>
  <c r="F31" i="18"/>
  <c r="D31" i="18"/>
  <c r="D24" i="18"/>
  <c r="E37" i="18"/>
  <c r="D36" i="18"/>
  <c r="D30" i="18"/>
  <c r="H26" i="18"/>
  <c r="J26" i="18"/>
  <c r="F39" i="18"/>
  <c r="G39" i="18"/>
  <c r="O39" i="18" s="1"/>
  <c r="F30" i="18"/>
  <c r="F35" i="18"/>
  <c r="F27" i="18"/>
  <c r="G27" i="18"/>
  <c r="O27" i="18" s="1"/>
  <c r="G32" i="18"/>
  <c r="O32" i="18" s="1"/>
  <c r="F32" i="18"/>
  <c r="G33" i="18"/>
  <c r="O33" i="18" s="1"/>
  <c r="G36" i="18"/>
  <c r="O36" i="18" s="1"/>
  <c r="G37" i="18"/>
  <c r="O37" i="18" s="1"/>
  <c r="F34" i="18"/>
  <c r="F29" i="18"/>
  <c r="I29" i="18" s="1"/>
  <c r="G25" i="18"/>
  <c r="O25" i="18" s="1"/>
  <c r="F36" i="18"/>
  <c r="C11" i="18"/>
  <c r="N26" i="18" s="1"/>
  <c r="Q26" i="18" s="1"/>
  <c r="G24" i="18"/>
  <c r="O24" i="18" s="1"/>
  <c r="E32" i="17"/>
  <c r="E26" i="17"/>
  <c r="E27" i="17"/>
  <c r="E29" i="17"/>
  <c r="E33" i="17"/>
  <c r="F33" i="17" s="1"/>
  <c r="G34" i="17"/>
  <c r="H28" i="17"/>
  <c r="P28" i="17" s="1"/>
  <c r="H31" i="17"/>
  <c r="P31" i="17" s="1"/>
  <c r="H25" i="17"/>
  <c r="P25" i="17" s="1"/>
  <c r="H29" i="17"/>
  <c r="P29" i="17" s="1"/>
  <c r="G31" i="17"/>
  <c r="H30" i="17"/>
  <c r="P30" i="17" s="1"/>
  <c r="H32" i="17"/>
  <c r="P32" i="17" s="1"/>
  <c r="E28" i="17"/>
  <c r="H34" i="17"/>
  <c r="P34" i="17" s="1"/>
  <c r="G25" i="17"/>
  <c r="E24" i="17"/>
  <c r="E30" i="17"/>
  <c r="G24" i="17"/>
  <c r="G27" i="17"/>
  <c r="G30" i="17"/>
  <c r="G33" i="17"/>
  <c r="H24" i="17"/>
  <c r="P24" i="17" s="1"/>
  <c r="H27" i="17"/>
  <c r="P27" i="17" s="1"/>
  <c r="H33" i="17"/>
  <c r="P33" i="17" s="1"/>
  <c r="G26" i="17"/>
  <c r="G29" i="17"/>
  <c r="G32" i="17"/>
  <c r="H26" i="17"/>
  <c r="P26" i="17" s="1"/>
  <c r="G28" i="17"/>
  <c r="I30" i="18" l="1"/>
  <c r="L30" i="18" s="1"/>
  <c r="M30" i="18" s="1"/>
  <c r="I28" i="18"/>
  <c r="I34" i="18"/>
  <c r="L34" i="18" s="1"/>
  <c r="M34" i="18" s="1"/>
  <c r="I27" i="19"/>
  <c r="H27" i="19" s="1"/>
  <c r="L40" i="20"/>
  <c r="M40" i="20" s="1"/>
  <c r="I39" i="20"/>
  <c r="H39" i="20" s="1"/>
  <c r="Q40" i="20"/>
  <c r="R40" i="20" s="1"/>
  <c r="S40" i="20" s="1"/>
  <c r="I35" i="18"/>
  <c r="J35" i="18" s="1"/>
  <c r="K35" i="18" s="1"/>
  <c r="I31" i="18"/>
  <c r="J31" i="18" s="1"/>
  <c r="K31" i="18" s="1"/>
  <c r="I38" i="18"/>
  <c r="F29" i="20"/>
  <c r="F30" i="20"/>
  <c r="J40" i="20"/>
  <c r="K40" i="20" s="1"/>
  <c r="I29" i="20"/>
  <c r="I30" i="20"/>
  <c r="H30" i="20" s="1"/>
  <c r="I37" i="20"/>
  <c r="L37" i="20" s="1"/>
  <c r="M37" i="20" s="1"/>
  <c r="I36" i="20"/>
  <c r="L36" i="20" s="1"/>
  <c r="M36" i="20" s="1"/>
  <c r="I25" i="20"/>
  <c r="N24" i="20" s="1"/>
  <c r="Q24" i="20" s="1"/>
  <c r="I28" i="20"/>
  <c r="J28" i="20" s="1"/>
  <c r="I33" i="20"/>
  <c r="N33" i="20" s="1"/>
  <c r="Q33" i="20" s="1"/>
  <c r="I31" i="20"/>
  <c r="J31" i="20" s="1"/>
  <c r="I38" i="20"/>
  <c r="H38" i="20" s="1"/>
  <c r="I35" i="20"/>
  <c r="N35" i="20" s="1"/>
  <c r="Q35" i="20" s="1"/>
  <c r="I27" i="20"/>
  <c r="I26" i="20"/>
  <c r="I32" i="20"/>
  <c r="I34" i="20"/>
  <c r="I31" i="19"/>
  <c r="N31" i="19" s="1"/>
  <c r="Q31" i="19" s="1"/>
  <c r="I29" i="19"/>
  <c r="I36" i="19"/>
  <c r="J36" i="19" s="1"/>
  <c r="K36" i="19" s="1"/>
  <c r="I37" i="19"/>
  <c r="J37" i="19" s="1"/>
  <c r="K37" i="19" s="1"/>
  <c r="I33" i="19"/>
  <c r="L33" i="19" s="1"/>
  <c r="M33" i="19" s="1"/>
  <c r="I26" i="19"/>
  <c r="N26" i="19" s="1"/>
  <c r="Q26" i="19" s="1"/>
  <c r="I39" i="19"/>
  <c r="J39" i="19" s="1"/>
  <c r="K39" i="19" s="1"/>
  <c r="I25" i="19"/>
  <c r="I32" i="19"/>
  <c r="I34" i="19"/>
  <c r="E35" i="19"/>
  <c r="E34" i="19" s="1"/>
  <c r="E33" i="19" s="1"/>
  <c r="E32" i="19" s="1"/>
  <c r="E31" i="19" s="1"/>
  <c r="E30" i="19" s="1"/>
  <c r="E29" i="19" s="1"/>
  <c r="E28" i="19" s="1"/>
  <c r="E27" i="19" s="1"/>
  <c r="E26" i="19" s="1"/>
  <c r="E25" i="19" s="1"/>
  <c r="E24" i="19" s="1"/>
  <c r="I30" i="19"/>
  <c r="I28" i="19"/>
  <c r="I38" i="19"/>
  <c r="H36" i="19"/>
  <c r="J27" i="19"/>
  <c r="I35" i="19"/>
  <c r="E36" i="18"/>
  <c r="E35" i="18" s="1"/>
  <c r="E34" i="18" s="1"/>
  <c r="E33" i="18" s="1"/>
  <c r="E32" i="18" s="1"/>
  <c r="E31" i="18" s="1"/>
  <c r="E30" i="18" s="1"/>
  <c r="E29" i="18" s="1"/>
  <c r="E28" i="18" s="1"/>
  <c r="E27" i="18" s="1"/>
  <c r="E26" i="18" s="1"/>
  <c r="E25" i="18" s="1"/>
  <c r="I33" i="18"/>
  <c r="H33" i="18" s="1"/>
  <c r="I32" i="18"/>
  <c r="N32" i="18" s="1"/>
  <c r="Q32" i="18" s="1"/>
  <c r="E24" i="18"/>
  <c r="P26" i="18"/>
  <c r="R26" i="18"/>
  <c r="I39" i="18"/>
  <c r="I36" i="18"/>
  <c r="N28" i="18"/>
  <c r="Q28" i="18" s="1"/>
  <c r="J28" i="18"/>
  <c r="H28" i="18"/>
  <c r="I37" i="18"/>
  <c r="H29" i="18"/>
  <c r="N29" i="18"/>
  <c r="Q29" i="18" s="1"/>
  <c r="J29" i="18"/>
  <c r="I27" i="18"/>
  <c r="I25" i="18"/>
  <c r="F32" i="17"/>
  <c r="F31" i="17" s="1"/>
  <c r="F30" i="17"/>
  <c r="F29" i="17" s="1"/>
  <c r="F28" i="17" s="1"/>
  <c r="F27" i="17" s="1"/>
  <c r="F26" i="17" s="1"/>
  <c r="F25" i="17" s="1"/>
  <c r="F24" i="17" s="1"/>
  <c r="J28" i="17"/>
  <c r="O28" i="17" s="1"/>
  <c r="R28" i="17" s="1"/>
  <c r="J32" i="17"/>
  <c r="K32" i="17" s="1"/>
  <c r="J24" i="17"/>
  <c r="I24" i="17" s="1"/>
  <c r="J25" i="17"/>
  <c r="I25" i="17" s="1"/>
  <c r="J31" i="17"/>
  <c r="I31" i="17" s="1"/>
  <c r="J29" i="17"/>
  <c r="K29" i="17" s="1"/>
  <c r="J30" i="17"/>
  <c r="O30" i="17" s="1"/>
  <c r="R30" i="17" s="1"/>
  <c r="J27" i="17"/>
  <c r="K27" i="17" s="1"/>
  <c r="J26" i="17"/>
  <c r="J34" i="17"/>
  <c r="J33" i="17"/>
  <c r="H29" i="20" l="1"/>
  <c r="J29" i="20"/>
  <c r="H30" i="18"/>
  <c r="N30" i="18"/>
  <c r="Q30" i="18" s="1"/>
  <c r="P30" i="18" s="1"/>
  <c r="J30" i="18"/>
  <c r="R30" i="18" s="1"/>
  <c r="L29" i="18"/>
  <c r="M29" i="18" s="1"/>
  <c r="H34" i="18"/>
  <c r="J34" i="18"/>
  <c r="K34" i="18" s="1"/>
  <c r="L28" i="18"/>
  <c r="N34" i="18"/>
  <c r="Q34" i="18" s="1"/>
  <c r="T34" i="18" s="1"/>
  <c r="U34" i="18" s="1"/>
  <c r="H32" i="18"/>
  <c r="N31" i="18"/>
  <c r="Q31" i="18" s="1"/>
  <c r="R31" i="18" s="1"/>
  <c r="S31" i="18" s="1"/>
  <c r="L31" i="18"/>
  <c r="M31" i="18" s="1"/>
  <c r="N29" i="19"/>
  <c r="Q29" i="19" s="1"/>
  <c r="R29" i="19" s="1"/>
  <c r="N27" i="19"/>
  <c r="Q27" i="19" s="1"/>
  <c r="P27" i="19" s="1"/>
  <c r="H29" i="19"/>
  <c r="J31" i="19"/>
  <c r="R31" i="19" s="1"/>
  <c r="L31" i="19"/>
  <c r="M31" i="19" s="1"/>
  <c r="N39" i="19"/>
  <c r="Q39" i="19" s="1"/>
  <c r="T39" i="19" s="1"/>
  <c r="U39" i="19" s="1"/>
  <c r="H31" i="19"/>
  <c r="N30" i="20"/>
  <c r="Q30" i="20" s="1"/>
  <c r="P30" i="20" s="1"/>
  <c r="T40" i="20"/>
  <c r="U40" i="20" s="1"/>
  <c r="J39" i="20"/>
  <c r="K39" i="20" s="1"/>
  <c r="N39" i="20"/>
  <c r="Q39" i="20" s="1"/>
  <c r="P39" i="20" s="1"/>
  <c r="P40" i="20"/>
  <c r="L39" i="20"/>
  <c r="M39" i="20" s="1"/>
  <c r="N29" i="20"/>
  <c r="Q29" i="20" s="1"/>
  <c r="L35" i="18"/>
  <c r="M35" i="18" s="1"/>
  <c r="H35" i="18"/>
  <c r="N35" i="18"/>
  <c r="Q35" i="18" s="1"/>
  <c r="T35" i="18" s="1"/>
  <c r="U35" i="18" s="1"/>
  <c r="H31" i="18"/>
  <c r="N33" i="18"/>
  <c r="Q33" i="18" s="1"/>
  <c r="R33" i="18" s="1"/>
  <c r="S33" i="18" s="1"/>
  <c r="J33" i="18"/>
  <c r="K33" i="18" s="1"/>
  <c r="L33" i="18"/>
  <c r="M33" i="18" s="1"/>
  <c r="L32" i="18"/>
  <c r="M32" i="18" s="1"/>
  <c r="J32" i="18"/>
  <c r="K32" i="18" s="1"/>
  <c r="H38" i="18"/>
  <c r="L38" i="18"/>
  <c r="M38" i="18" s="1"/>
  <c r="J38" i="18"/>
  <c r="K38" i="18" s="1"/>
  <c r="N38" i="18"/>
  <c r="Q38" i="18" s="1"/>
  <c r="T38" i="18" s="1"/>
  <c r="U38" i="18" s="1"/>
  <c r="N37" i="20"/>
  <c r="Q37" i="20" s="1"/>
  <c r="P37" i="20" s="1"/>
  <c r="J30" i="20"/>
  <c r="L30" i="20" s="1"/>
  <c r="M30" i="20" s="1"/>
  <c r="J37" i="20"/>
  <c r="K37" i="20" s="1"/>
  <c r="H37" i="20"/>
  <c r="J36" i="20"/>
  <c r="K36" i="20" s="1"/>
  <c r="H36" i="20"/>
  <c r="N36" i="20"/>
  <c r="Q36" i="20" s="1"/>
  <c r="T36" i="20" s="1"/>
  <c r="U36" i="20" s="1"/>
  <c r="J25" i="20"/>
  <c r="J24" i="20" s="1"/>
  <c r="K31" i="20" s="1"/>
  <c r="H25" i="20"/>
  <c r="N31" i="20"/>
  <c r="Q31" i="20" s="1"/>
  <c r="P31" i="20" s="1"/>
  <c r="H31" i="20"/>
  <c r="L31" i="20"/>
  <c r="M31" i="20" s="1"/>
  <c r="J38" i="20"/>
  <c r="K38" i="20" s="1"/>
  <c r="L38" i="20"/>
  <c r="M38" i="20" s="1"/>
  <c r="N28" i="20"/>
  <c r="Q28" i="20" s="1"/>
  <c r="R28" i="20" s="1"/>
  <c r="H33" i="20"/>
  <c r="H35" i="20"/>
  <c r="H28" i="20"/>
  <c r="J33" i="20"/>
  <c r="K33" i="20" s="1"/>
  <c r="L33" i="20"/>
  <c r="M33" i="20" s="1"/>
  <c r="J35" i="20"/>
  <c r="K35" i="20" s="1"/>
  <c r="L35" i="20"/>
  <c r="M35" i="20" s="1"/>
  <c r="N38" i="20"/>
  <c r="Q38" i="20" s="1"/>
  <c r="R38" i="20" s="1"/>
  <c r="S38" i="20" s="1"/>
  <c r="H26" i="20"/>
  <c r="N26" i="20"/>
  <c r="Q26" i="20" s="1"/>
  <c r="J26" i="20"/>
  <c r="H27" i="20"/>
  <c r="J27" i="20"/>
  <c r="N27" i="20"/>
  <c r="Q27" i="20" s="1"/>
  <c r="R33" i="20"/>
  <c r="S33" i="20" s="1"/>
  <c r="P33" i="20"/>
  <c r="T33" i="20"/>
  <c r="U33" i="20" s="1"/>
  <c r="R35" i="20"/>
  <c r="S35" i="20" s="1"/>
  <c r="T35" i="20"/>
  <c r="U35" i="20" s="1"/>
  <c r="P35" i="20"/>
  <c r="N32" i="20"/>
  <c r="Q32" i="20" s="1"/>
  <c r="L32" i="20"/>
  <c r="M32" i="20" s="1"/>
  <c r="H32" i="20"/>
  <c r="J32" i="20"/>
  <c r="K32" i="20" s="1"/>
  <c r="P24" i="20"/>
  <c r="H34" i="20"/>
  <c r="N34" i="20"/>
  <c r="Q34" i="20" s="1"/>
  <c r="L34" i="20"/>
  <c r="M34" i="20" s="1"/>
  <c r="J34" i="20"/>
  <c r="K34" i="20" s="1"/>
  <c r="N25" i="20"/>
  <c r="Q25" i="20" s="1"/>
  <c r="R24" i="20" s="1"/>
  <c r="H39" i="19"/>
  <c r="J33" i="19"/>
  <c r="K33" i="19" s="1"/>
  <c r="H33" i="19"/>
  <c r="N33" i="19"/>
  <c r="Q33" i="19" s="1"/>
  <c r="P33" i="19" s="1"/>
  <c r="N36" i="19"/>
  <c r="Q36" i="19" s="1"/>
  <c r="R36" i="19" s="1"/>
  <c r="S36" i="19" s="1"/>
  <c r="N37" i="19"/>
  <c r="Q37" i="19" s="1"/>
  <c r="R37" i="19" s="1"/>
  <c r="S37" i="19" s="1"/>
  <c r="L36" i="19"/>
  <c r="M36" i="19" s="1"/>
  <c r="H37" i="19"/>
  <c r="L37" i="19"/>
  <c r="M37" i="19" s="1"/>
  <c r="L39" i="19"/>
  <c r="M39" i="19" s="1"/>
  <c r="H26" i="19"/>
  <c r="J26" i="19"/>
  <c r="J28" i="19"/>
  <c r="H28" i="19"/>
  <c r="N28" i="19"/>
  <c r="Q28" i="19" s="1"/>
  <c r="N30" i="19"/>
  <c r="Q30" i="19" s="1"/>
  <c r="H30" i="19"/>
  <c r="J30" i="19"/>
  <c r="L34" i="19"/>
  <c r="M34" i="19" s="1"/>
  <c r="N34" i="19"/>
  <c r="Q34" i="19" s="1"/>
  <c r="H34" i="19"/>
  <c r="J34" i="19"/>
  <c r="K34" i="19" s="1"/>
  <c r="P26" i="19"/>
  <c r="P31" i="19"/>
  <c r="T31" i="19"/>
  <c r="U31" i="19" s="1"/>
  <c r="J32" i="19"/>
  <c r="K32" i="19" s="1"/>
  <c r="H32" i="19"/>
  <c r="L32" i="19"/>
  <c r="M32" i="19" s="1"/>
  <c r="N32" i="19"/>
  <c r="Q32" i="19" s="1"/>
  <c r="J25" i="19"/>
  <c r="J24" i="19" s="1"/>
  <c r="N25" i="19"/>
  <c r="Q25" i="19" s="1"/>
  <c r="H25" i="19"/>
  <c r="N24" i="19"/>
  <c r="Q24" i="19" s="1"/>
  <c r="N35" i="19"/>
  <c r="Q35" i="19" s="1"/>
  <c r="L35" i="19"/>
  <c r="M35" i="19" s="1"/>
  <c r="J35" i="19"/>
  <c r="K35" i="19" s="1"/>
  <c r="H35" i="19"/>
  <c r="L38" i="19"/>
  <c r="M38" i="19" s="1"/>
  <c r="N38" i="19"/>
  <c r="Q38" i="19" s="1"/>
  <c r="H38" i="19"/>
  <c r="J38" i="19"/>
  <c r="K38" i="19" s="1"/>
  <c r="P29" i="18"/>
  <c r="R29" i="18"/>
  <c r="H25" i="18"/>
  <c r="J25" i="18"/>
  <c r="J24" i="18" s="1"/>
  <c r="N25" i="18"/>
  <c r="Q25" i="18" s="1"/>
  <c r="N24" i="18"/>
  <c r="Q24" i="18" s="1"/>
  <c r="R28" i="18"/>
  <c r="P28" i="18"/>
  <c r="J27" i="18"/>
  <c r="H27" i="18"/>
  <c r="N27" i="18"/>
  <c r="Q27" i="18" s="1"/>
  <c r="N39" i="18"/>
  <c r="Q39" i="18" s="1"/>
  <c r="L39" i="18"/>
  <c r="M39" i="18" s="1"/>
  <c r="J39" i="18"/>
  <c r="K39" i="18" s="1"/>
  <c r="H39" i="18"/>
  <c r="N37" i="18"/>
  <c r="Q37" i="18" s="1"/>
  <c r="L37" i="18"/>
  <c r="M37" i="18" s="1"/>
  <c r="J37" i="18"/>
  <c r="K37" i="18" s="1"/>
  <c r="H37" i="18"/>
  <c r="J36" i="18"/>
  <c r="K36" i="18" s="1"/>
  <c r="N36" i="18"/>
  <c r="Q36" i="18" s="1"/>
  <c r="L36" i="18"/>
  <c r="M36" i="18" s="1"/>
  <c r="H36" i="18"/>
  <c r="T32" i="18"/>
  <c r="U32" i="18" s="1"/>
  <c r="R32" i="18"/>
  <c r="S32" i="18" s="1"/>
  <c r="P32" i="18"/>
  <c r="T30" i="18"/>
  <c r="U30" i="18" s="1"/>
  <c r="O32" i="17"/>
  <c r="R32" i="17" s="1"/>
  <c r="Q32" i="17" s="1"/>
  <c r="I28" i="17"/>
  <c r="K28" i="17"/>
  <c r="I32" i="17"/>
  <c r="K31" i="17"/>
  <c r="M31" i="17" s="1"/>
  <c r="O31" i="17"/>
  <c r="R31" i="17" s="1"/>
  <c r="Q31" i="17" s="1"/>
  <c r="O24" i="17"/>
  <c r="R24" i="17" s="1"/>
  <c r="Q24" i="17" s="1"/>
  <c r="K24" i="17"/>
  <c r="L24" i="17" s="1"/>
  <c r="M24" i="17"/>
  <c r="N24" i="17" s="1"/>
  <c r="I29" i="17"/>
  <c r="I30" i="17"/>
  <c r="O27" i="17"/>
  <c r="R27" i="17" s="1"/>
  <c r="I27" i="17"/>
  <c r="O29" i="17"/>
  <c r="R29" i="17" s="1"/>
  <c r="S29" i="17" s="1"/>
  <c r="K30" i="17"/>
  <c r="S30" i="17" s="1"/>
  <c r="I26" i="17"/>
  <c r="O26" i="17"/>
  <c r="R26" i="17" s="1"/>
  <c r="K26" i="17"/>
  <c r="Q30" i="17"/>
  <c r="O33" i="17"/>
  <c r="R33" i="17" s="1"/>
  <c r="K33" i="17"/>
  <c r="I33" i="17"/>
  <c r="I34" i="17"/>
  <c r="O34" i="17"/>
  <c r="R34" i="17" s="1"/>
  <c r="O25" i="17"/>
  <c r="R25" i="17" s="1"/>
  <c r="Q28" i="17"/>
  <c r="S28" i="17" l="1"/>
  <c r="U34" i="17"/>
  <c r="V34" i="17" s="1"/>
  <c r="S34" i="17"/>
  <c r="K29" i="18"/>
  <c r="T28" i="18"/>
  <c r="M28" i="18"/>
  <c r="R38" i="18"/>
  <c r="S38" i="18" s="1"/>
  <c r="P34" i="18"/>
  <c r="R34" i="18"/>
  <c r="S34" i="18" s="1"/>
  <c r="T29" i="18"/>
  <c r="U29" i="18" s="1"/>
  <c r="T31" i="18"/>
  <c r="U31" i="18" s="1"/>
  <c r="P31" i="18"/>
  <c r="P35" i="18"/>
  <c r="K30" i="18"/>
  <c r="L30" i="19"/>
  <c r="M30" i="19" s="1"/>
  <c r="P29" i="19"/>
  <c r="T37" i="19"/>
  <c r="U37" i="19" s="1"/>
  <c r="P39" i="19"/>
  <c r="R33" i="19"/>
  <c r="S33" i="19" s="1"/>
  <c r="P36" i="19"/>
  <c r="T36" i="19"/>
  <c r="U36" i="19" s="1"/>
  <c r="R27" i="19"/>
  <c r="R39" i="19"/>
  <c r="S39" i="19" s="1"/>
  <c r="T33" i="19"/>
  <c r="U33" i="19" s="1"/>
  <c r="K30" i="19"/>
  <c r="L29" i="19"/>
  <c r="M29" i="19" s="1"/>
  <c r="K31" i="19"/>
  <c r="S32" i="17"/>
  <c r="L28" i="20"/>
  <c r="T37" i="20"/>
  <c r="U37" i="20" s="1"/>
  <c r="R30" i="20"/>
  <c r="L29" i="20"/>
  <c r="M29" i="20" s="1"/>
  <c r="R29" i="20"/>
  <c r="R39" i="20"/>
  <c r="S39" i="20" s="1"/>
  <c r="T39" i="20"/>
  <c r="U39" i="20" s="1"/>
  <c r="K30" i="20"/>
  <c r="R37" i="20"/>
  <c r="S37" i="20" s="1"/>
  <c r="P29" i="20"/>
  <c r="R35" i="18"/>
  <c r="S35" i="18" s="1"/>
  <c r="T33" i="18"/>
  <c r="U33" i="18" s="1"/>
  <c r="P33" i="18"/>
  <c r="L27" i="18"/>
  <c r="M27" i="18" s="1"/>
  <c r="P38" i="18"/>
  <c r="P36" i="20"/>
  <c r="R36" i="20"/>
  <c r="S36" i="20" s="1"/>
  <c r="T31" i="20"/>
  <c r="U31" i="20" s="1"/>
  <c r="P28" i="20"/>
  <c r="R31" i="20"/>
  <c r="L24" i="20"/>
  <c r="K29" i="20"/>
  <c r="K28" i="20"/>
  <c r="T38" i="20"/>
  <c r="U38" i="20" s="1"/>
  <c r="P38" i="20"/>
  <c r="K27" i="20"/>
  <c r="K25" i="20"/>
  <c r="K24" i="20"/>
  <c r="L25" i="20"/>
  <c r="R25" i="20"/>
  <c r="P25" i="20"/>
  <c r="T32" i="20"/>
  <c r="U32" i="20" s="1"/>
  <c r="P32" i="20"/>
  <c r="R32" i="20"/>
  <c r="S32" i="20" s="1"/>
  <c r="R27" i="20"/>
  <c r="P27" i="20"/>
  <c r="L27" i="20"/>
  <c r="T34" i="20"/>
  <c r="U34" i="20" s="1"/>
  <c r="R34" i="20"/>
  <c r="S34" i="20" s="1"/>
  <c r="P34" i="20"/>
  <c r="K26" i="20"/>
  <c r="P26" i="20"/>
  <c r="R26" i="20"/>
  <c r="L26" i="20"/>
  <c r="L26" i="19"/>
  <c r="L25" i="19"/>
  <c r="L28" i="19"/>
  <c r="P37" i="19"/>
  <c r="R26" i="19"/>
  <c r="K29" i="19"/>
  <c r="K24" i="19"/>
  <c r="L24" i="19"/>
  <c r="K27" i="19"/>
  <c r="K26" i="19"/>
  <c r="R24" i="19"/>
  <c r="P24" i="19"/>
  <c r="P34" i="19"/>
  <c r="T34" i="19"/>
  <c r="U34" i="19" s="1"/>
  <c r="R34" i="19"/>
  <c r="S34" i="19" s="1"/>
  <c r="R35" i="19"/>
  <c r="S35" i="19" s="1"/>
  <c r="P35" i="19"/>
  <c r="T35" i="19"/>
  <c r="U35" i="19" s="1"/>
  <c r="P30" i="19"/>
  <c r="R30" i="19"/>
  <c r="T30" i="19"/>
  <c r="U30" i="19" s="1"/>
  <c r="R28" i="19"/>
  <c r="P28" i="19"/>
  <c r="P38" i="19"/>
  <c r="R38" i="19"/>
  <c r="S38" i="19" s="1"/>
  <c r="T38" i="19"/>
  <c r="U38" i="19" s="1"/>
  <c r="R25" i="19"/>
  <c r="P25" i="19"/>
  <c r="K25" i="19"/>
  <c r="K28" i="19"/>
  <c r="L27" i="19"/>
  <c r="T32" i="19"/>
  <c r="U32" i="19" s="1"/>
  <c r="R32" i="19"/>
  <c r="S32" i="19" s="1"/>
  <c r="P32" i="19"/>
  <c r="K28" i="18"/>
  <c r="L25" i="18"/>
  <c r="P37" i="18"/>
  <c r="R37" i="18"/>
  <c r="S37" i="18" s="1"/>
  <c r="T37" i="18"/>
  <c r="U37" i="18" s="1"/>
  <c r="R27" i="18"/>
  <c r="P27" i="18"/>
  <c r="K27" i="18"/>
  <c r="L26" i="18"/>
  <c r="P39" i="18"/>
  <c r="T39" i="18"/>
  <c r="U39" i="18" s="1"/>
  <c r="R39" i="18"/>
  <c r="S39" i="18" s="1"/>
  <c r="R36" i="18"/>
  <c r="S36" i="18" s="1"/>
  <c r="P36" i="18"/>
  <c r="T36" i="18"/>
  <c r="U36" i="18" s="1"/>
  <c r="R24" i="18"/>
  <c r="P24" i="18"/>
  <c r="T24" i="18"/>
  <c r="K24" i="18"/>
  <c r="L24" i="18"/>
  <c r="K26" i="18"/>
  <c r="R25" i="18"/>
  <c r="P25" i="18"/>
  <c r="K25" i="18"/>
  <c r="S31" i="17"/>
  <c r="U30" i="17" s="1"/>
  <c r="M27" i="17"/>
  <c r="S27" i="17"/>
  <c r="M28" i="17"/>
  <c r="Q29" i="17"/>
  <c r="M30" i="17"/>
  <c r="U24" i="17"/>
  <c r="V24" i="17" s="1"/>
  <c r="S24" i="17"/>
  <c r="T24" i="17" s="1"/>
  <c r="M29" i="17"/>
  <c r="M26" i="17"/>
  <c r="Q27" i="17"/>
  <c r="M32" i="17"/>
  <c r="M33" i="17"/>
  <c r="S26" i="17"/>
  <c r="U26" i="17" s="1"/>
  <c r="Q26" i="17"/>
  <c r="K25" i="17"/>
  <c r="L33" i="17" s="1"/>
  <c r="S33" i="17"/>
  <c r="Q33" i="17"/>
  <c r="Q34" i="17"/>
  <c r="S25" i="17"/>
  <c r="T25" i="17" s="1"/>
  <c r="U25" i="17"/>
  <c r="V25" i="17" s="1"/>
  <c r="Q25" i="17"/>
  <c r="T29" i="20" l="1"/>
  <c r="U28" i="17"/>
  <c r="U28" i="18"/>
  <c r="S30" i="18"/>
  <c r="S29" i="18"/>
  <c r="T26" i="19"/>
  <c r="S31" i="19"/>
  <c r="M28" i="19"/>
  <c r="M27" i="19" s="1"/>
  <c r="M26" i="19" s="1"/>
  <c r="M25" i="19" s="1"/>
  <c r="M24" i="19" s="1"/>
  <c r="C18" i="19" s="1"/>
  <c r="S30" i="19"/>
  <c r="T29" i="19"/>
  <c r="U29" i="19" s="1"/>
  <c r="U29" i="17"/>
  <c r="N33" i="17"/>
  <c r="N32" i="17" s="1"/>
  <c r="N31" i="17" s="1"/>
  <c r="N30" i="17" s="1"/>
  <c r="N29" i="17" s="1"/>
  <c r="N28" i="17" s="1"/>
  <c r="N27" i="17" s="1"/>
  <c r="N26" i="17" s="1"/>
  <c r="T28" i="20"/>
  <c r="S31" i="20"/>
  <c r="M28" i="20"/>
  <c r="M27" i="20" s="1"/>
  <c r="M26" i="20" s="1"/>
  <c r="M25" i="20" s="1"/>
  <c r="M24" i="20" s="1"/>
  <c r="C18" i="20" s="1"/>
  <c r="S30" i="20"/>
  <c r="T30" i="20"/>
  <c r="U30" i="20" s="1"/>
  <c r="T25" i="18"/>
  <c r="M26" i="18"/>
  <c r="C14" i="20"/>
  <c r="S29" i="20"/>
  <c r="T24" i="20"/>
  <c r="S24" i="20"/>
  <c r="S26" i="20"/>
  <c r="T25" i="20"/>
  <c r="S27" i="20"/>
  <c r="T26" i="20"/>
  <c r="T27" i="20"/>
  <c r="S25" i="20"/>
  <c r="S28" i="20"/>
  <c r="S29" i="19"/>
  <c r="T28" i="19"/>
  <c r="S24" i="19"/>
  <c r="T24" i="19"/>
  <c r="S27" i="19"/>
  <c r="S25" i="19"/>
  <c r="S28" i="19"/>
  <c r="T27" i="19"/>
  <c r="S26" i="19"/>
  <c r="T25" i="19"/>
  <c r="C14" i="19"/>
  <c r="T27" i="18"/>
  <c r="U27" i="18" s="1"/>
  <c r="M25" i="18"/>
  <c r="M24" i="18" s="1"/>
  <c r="C18" i="18" s="1"/>
  <c r="C14" i="18"/>
  <c r="S25" i="18"/>
  <c r="S24" i="18"/>
  <c r="S26" i="18"/>
  <c r="S27" i="18"/>
  <c r="T26" i="18"/>
  <c r="S28" i="18"/>
  <c r="U31" i="17"/>
  <c r="U27" i="17"/>
  <c r="U33" i="17"/>
  <c r="T33" i="17"/>
  <c r="L30" i="17"/>
  <c r="L31" i="17"/>
  <c r="L29" i="17"/>
  <c r="L32" i="17"/>
  <c r="T31" i="17"/>
  <c r="L34" i="17"/>
  <c r="T30" i="17"/>
  <c r="T32" i="17"/>
  <c r="T34" i="17"/>
  <c r="T29" i="17"/>
  <c r="U32" i="17"/>
  <c r="L25" i="17"/>
  <c r="M25" i="17"/>
  <c r="N25" i="17" s="1"/>
  <c r="L28" i="17"/>
  <c r="L27" i="17"/>
  <c r="L26" i="17"/>
  <c r="T27" i="17"/>
  <c r="T28" i="17"/>
  <c r="V26" i="17"/>
  <c r="T26" i="17"/>
  <c r="U29" i="20" l="1"/>
  <c r="U28" i="20" s="1"/>
  <c r="U27" i="20" s="1"/>
  <c r="U26" i="20" s="1"/>
  <c r="U25" i="20" s="1"/>
  <c r="U26" i="18"/>
  <c r="U28" i="19"/>
  <c r="U27" i="19" s="1"/>
  <c r="U26" i="19" s="1"/>
  <c r="U25" i="19" s="1"/>
  <c r="U24" i="19" s="1"/>
  <c r="C17" i="19" s="1"/>
  <c r="C19" i="19" s="1"/>
  <c r="C18" i="17"/>
  <c r="U25" i="18"/>
  <c r="U24" i="18" s="1"/>
  <c r="C17" i="18" s="1"/>
  <c r="C19" i="18" s="1"/>
  <c r="C13" i="20"/>
  <c r="C15" i="20" s="1"/>
  <c r="F8" i="21" s="1"/>
  <c r="C13" i="19"/>
  <c r="C15" i="19" s="1"/>
  <c r="F7" i="21" s="1"/>
  <c r="C13" i="18"/>
  <c r="C15" i="18" s="1"/>
  <c r="F6" i="21" s="1"/>
  <c r="V33" i="17"/>
  <c r="V32" i="17" s="1"/>
  <c r="V31" i="17" s="1"/>
  <c r="V30" i="17" s="1"/>
  <c r="V29" i="17" s="1"/>
  <c r="V28" i="17" s="1"/>
  <c r="V27" i="17" s="1"/>
  <c r="C17" i="17" s="1"/>
  <c r="C19" i="17" l="1"/>
  <c r="U24" i="20"/>
  <c r="C17" i="20" s="1"/>
  <c r="C19" i="20" s="1"/>
  <c r="C15" i="17"/>
  <c r="F4" i="21" s="1"/>
  <c r="C8" i="3"/>
  <c r="C10" i="3" s="1"/>
  <c r="C9" i="3"/>
  <c r="B25" i="3"/>
  <c r="B26" i="3"/>
  <c r="B27" i="3"/>
  <c r="B28" i="3"/>
  <c r="B29" i="3"/>
  <c r="B30" i="3"/>
  <c r="B31" i="3"/>
  <c r="B32" i="3"/>
  <c r="B33" i="3"/>
  <c r="B34" i="3"/>
  <c r="B35" i="3"/>
  <c r="B36" i="3"/>
  <c r="B37" i="3"/>
  <c r="B38" i="3"/>
  <c r="B39" i="3"/>
  <c r="D37" i="3"/>
  <c r="D36" i="3"/>
  <c r="D35" i="3"/>
  <c r="D34" i="3"/>
  <c r="D33" i="3"/>
  <c r="D32" i="3"/>
  <c r="D31" i="3"/>
  <c r="D30" i="3"/>
  <c r="D29" i="3"/>
  <c r="D28" i="3"/>
  <c r="D27" i="3"/>
  <c r="D26" i="3"/>
  <c r="D25" i="3"/>
  <c r="D24" i="3"/>
  <c r="D38" i="3"/>
  <c r="E38" i="3" s="1"/>
  <c r="E37" i="3" l="1"/>
  <c r="E36" i="3" s="1"/>
  <c r="E35" i="3" s="1"/>
  <c r="E34" i="3" s="1"/>
  <c r="E33" i="3" s="1"/>
  <c r="E32" i="3" s="1"/>
  <c r="E31" i="3" s="1"/>
  <c r="E30" i="3" s="1"/>
  <c r="E29" i="3" s="1"/>
  <c r="E28" i="3" s="1"/>
  <c r="E27" i="3" s="1"/>
  <c r="E26" i="3" s="1"/>
  <c r="E25" i="3" s="1"/>
  <c r="E24" i="3" s="1"/>
  <c r="F25" i="3"/>
  <c r="F29" i="3"/>
  <c r="F32" i="3"/>
  <c r="F28" i="3"/>
  <c r="F24" i="3"/>
  <c r="I24" i="3" s="1"/>
  <c r="H24" i="3" s="1"/>
  <c r="C11" i="3"/>
  <c r="F36" i="3"/>
  <c r="F38" i="3"/>
  <c r="F34" i="3"/>
  <c r="F30" i="3"/>
  <c r="F26" i="3"/>
  <c r="G26" i="3"/>
  <c r="O26" i="3" s="1"/>
  <c r="G24" i="3"/>
  <c r="O24" i="3" s="1"/>
  <c r="G38" i="3"/>
  <c r="O38" i="3" s="1"/>
  <c r="G34" i="3"/>
  <c r="O34" i="3" s="1"/>
  <c r="G30" i="3"/>
  <c r="O30" i="3" s="1"/>
  <c r="G37" i="3"/>
  <c r="O37" i="3" s="1"/>
  <c r="G33" i="3"/>
  <c r="O33" i="3" s="1"/>
  <c r="G29" i="3"/>
  <c r="O29" i="3" s="1"/>
  <c r="G25" i="3"/>
  <c r="O25" i="3" s="1"/>
  <c r="G28" i="3"/>
  <c r="O28" i="3" s="1"/>
  <c r="G39" i="3"/>
  <c r="O39" i="3" s="1"/>
  <c r="F39" i="3"/>
  <c r="G35" i="3"/>
  <c r="O35" i="3" s="1"/>
  <c r="F35" i="3"/>
  <c r="G36" i="3"/>
  <c r="O36" i="3" s="1"/>
  <c r="G31" i="3"/>
  <c r="O31" i="3" s="1"/>
  <c r="F31" i="3"/>
  <c r="G32" i="3"/>
  <c r="O32" i="3" s="1"/>
  <c r="G27" i="3"/>
  <c r="O27" i="3" s="1"/>
  <c r="F27" i="3"/>
  <c r="F37" i="3"/>
  <c r="F33" i="3"/>
  <c r="I25" i="3" l="1"/>
  <c r="N24" i="3" s="1"/>
  <c r="Q24" i="3" s="1"/>
  <c r="P24" i="3" s="1"/>
  <c r="I30" i="3"/>
  <c r="H30" i="3" s="1"/>
  <c r="I29" i="3"/>
  <c r="J29" i="3" s="1"/>
  <c r="I33" i="3"/>
  <c r="J33" i="3" s="1"/>
  <c r="K33" i="3" s="1"/>
  <c r="I38" i="3"/>
  <c r="H38" i="3" s="1"/>
  <c r="I37" i="3"/>
  <c r="J37" i="3" s="1"/>
  <c r="K37" i="3" s="1"/>
  <c r="I28" i="3"/>
  <c r="I26" i="3"/>
  <c r="J26" i="3" s="1"/>
  <c r="I35" i="3"/>
  <c r="H35" i="3" s="1"/>
  <c r="I34" i="3"/>
  <c r="I31" i="3"/>
  <c r="L31" i="3" s="1"/>
  <c r="M31" i="3" s="1"/>
  <c r="I36" i="3"/>
  <c r="I27" i="3"/>
  <c r="I39" i="3"/>
  <c r="I32" i="3"/>
  <c r="N28" i="3" l="1"/>
  <c r="Q28" i="3" s="1"/>
  <c r="P28" i="3" s="1"/>
  <c r="J28" i="3"/>
  <c r="N37" i="3"/>
  <c r="Q37" i="3" s="1"/>
  <c r="T37" i="3" s="1"/>
  <c r="U37" i="3" s="1"/>
  <c r="L37" i="3"/>
  <c r="M37" i="3" s="1"/>
  <c r="N29" i="3"/>
  <c r="Q29" i="3" s="1"/>
  <c r="H29" i="3"/>
  <c r="H37" i="3"/>
  <c r="J25" i="3"/>
  <c r="J24" i="3" s="1"/>
  <c r="H25" i="3"/>
  <c r="L30" i="3"/>
  <c r="M30" i="3" s="1"/>
  <c r="J30" i="3"/>
  <c r="K30" i="3" s="1"/>
  <c r="J35" i="3"/>
  <c r="K35" i="3" s="1"/>
  <c r="N35" i="3"/>
  <c r="Q35" i="3" s="1"/>
  <c r="T35" i="3" s="1"/>
  <c r="U35" i="3" s="1"/>
  <c r="N30" i="3"/>
  <c r="Q30" i="3" s="1"/>
  <c r="T30" i="3" s="1"/>
  <c r="U30" i="3" s="1"/>
  <c r="L35" i="3"/>
  <c r="M35" i="3" s="1"/>
  <c r="N25" i="3"/>
  <c r="Q25" i="3" s="1"/>
  <c r="P25" i="3" s="1"/>
  <c r="J38" i="3"/>
  <c r="K38" i="3" s="1"/>
  <c r="N33" i="3"/>
  <c r="Q33" i="3" s="1"/>
  <c r="T33" i="3" s="1"/>
  <c r="U33" i="3" s="1"/>
  <c r="L33" i="3"/>
  <c r="M33" i="3" s="1"/>
  <c r="N31" i="3"/>
  <c r="Q31" i="3" s="1"/>
  <c r="T31" i="3" s="1"/>
  <c r="U31" i="3" s="1"/>
  <c r="H33" i="3"/>
  <c r="H28" i="3"/>
  <c r="L38" i="3"/>
  <c r="M38" i="3" s="1"/>
  <c r="N38" i="3"/>
  <c r="Q38" i="3" s="1"/>
  <c r="T38" i="3" s="1"/>
  <c r="U38" i="3" s="1"/>
  <c r="H31" i="3"/>
  <c r="H26" i="3"/>
  <c r="J31" i="3"/>
  <c r="K31" i="3" s="1"/>
  <c r="N26" i="3"/>
  <c r="Q26" i="3" s="1"/>
  <c r="N34" i="3"/>
  <c r="Q34" i="3" s="1"/>
  <c r="J34" i="3"/>
  <c r="K34" i="3" s="1"/>
  <c r="H34" i="3"/>
  <c r="L34" i="3"/>
  <c r="M34" i="3" s="1"/>
  <c r="N32" i="3"/>
  <c r="Q32" i="3" s="1"/>
  <c r="L32" i="3"/>
  <c r="M32" i="3" s="1"/>
  <c r="J32" i="3"/>
  <c r="K32" i="3" s="1"/>
  <c r="H32" i="3"/>
  <c r="L39" i="3"/>
  <c r="M39" i="3" s="1"/>
  <c r="J39" i="3"/>
  <c r="K39" i="3" s="1"/>
  <c r="H39" i="3"/>
  <c r="N39" i="3"/>
  <c r="Q39" i="3" s="1"/>
  <c r="J27" i="3"/>
  <c r="H27" i="3"/>
  <c r="N27" i="3"/>
  <c r="Q27" i="3" s="1"/>
  <c r="N36" i="3"/>
  <c r="Q36" i="3" s="1"/>
  <c r="L36" i="3"/>
  <c r="M36" i="3" s="1"/>
  <c r="J36" i="3"/>
  <c r="K36" i="3" s="1"/>
  <c r="H36" i="3"/>
  <c r="R28" i="3" l="1"/>
  <c r="L29" i="3"/>
  <c r="M29" i="3" s="1"/>
  <c r="L24" i="3"/>
  <c r="R24" i="3"/>
  <c r="P29" i="3"/>
  <c r="R29" i="3"/>
  <c r="P38" i="3"/>
  <c r="P37" i="3"/>
  <c r="R37" i="3"/>
  <c r="S37" i="3" s="1"/>
  <c r="R30" i="3"/>
  <c r="R31" i="3"/>
  <c r="S31" i="3" s="1"/>
  <c r="L25" i="3"/>
  <c r="P30" i="3"/>
  <c r="R35" i="3"/>
  <c r="S35" i="3" s="1"/>
  <c r="P35" i="3"/>
  <c r="P33" i="3"/>
  <c r="R33" i="3"/>
  <c r="S33" i="3" s="1"/>
  <c r="L28" i="3"/>
  <c r="M28" i="3" s="1"/>
  <c r="P31" i="3"/>
  <c r="R38" i="3"/>
  <c r="S38" i="3" s="1"/>
  <c r="P26" i="3"/>
  <c r="R26" i="3"/>
  <c r="R25" i="3"/>
  <c r="T34" i="3"/>
  <c r="U34" i="3" s="1"/>
  <c r="R34" i="3"/>
  <c r="S34" i="3" s="1"/>
  <c r="P34" i="3"/>
  <c r="L27" i="3"/>
  <c r="K29" i="3"/>
  <c r="K24" i="3"/>
  <c r="K28" i="3"/>
  <c r="R36" i="3"/>
  <c r="S36" i="3" s="1"/>
  <c r="P36" i="3"/>
  <c r="T36" i="3"/>
  <c r="U36" i="3" s="1"/>
  <c r="K27" i="3"/>
  <c r="L26" i="3"/>
  <c r="T39" i="3"/>
  <c r="U39" i="3" s="1"/>
  <c r="P39" i="3"/>
  <c r="R39" i="3"/>
  <c r="S39" i="3" s="1"/>
  <c r="R32" i="3"/>
  <c r="S32" i="3" s="1"/>
  <c r="P32" i="3"/>
  <c r="T32" i="3"/>
  <c r="U32" i="3" s="1"/>
  <c r="K26" i="3"/>
  <c r="K25" i="3"/>
  <c r="R27" i="3"/>
  <c r="P27" i="3"/>
  <c r="S30" i="3" l="1"/>
  <c r="T28" i="3"/>
  <c r="T29" i="3"/>
  <c r="U29" i="3" s="1"/>
  <c r="C14" i="3"/>
  <c r="S24" i="3"/>
  <c r="T24" i="3"/>
  <c r="M27" i="3"/>
  <c r="M26" i="3" s="1"/>
  <c r="M25" i="3" s="1"/>
  <c r="M24" i="3" s="1"/>
  <c r="C18" i="3" s="1"/>
  <c r="T25" i="3"/>
  <c r="S29" i="3"/>
  <c r="S25" i="3"/>
  <c r="S27" i="3"/>
  <c r="T26" i="3"/>
  <c r="S26" i="3"/>
  <c r="T27" i="3"/>
  <c r="S28" i="3"/>
  <c r="U28" i="3" l="1"/>
  <c r="U27" i="3" s="1"/>
  <c r="U26" i="3" s="1"/>
  <c r="U25" i="3" s="1"/>
  <c r="U24" i="3" s="1"/>
  <c r="C13" i="3"/>
  <c r="C15" i="3" l="1"/>
  <c r="F5" i="21" s="1"/>
  <c r="C17" i="3"/>
  <c r="C19" i="3" l="1"/>
</calcChain>
</file>

<file path=xl/sharedStrings.xml><?xml version="1.0" encoding="utf-8"?>
<sst xmlns="http://schemas.openxmlformats.org/spreadsheetml/2006/main" count="418" uniqueCount="75">
  <si>
    <t>DEPTH</t>
  </si>
  <si>
    <r>
      <t>(m</t>
    </r>
    <r>
      <rPr>
        <vertAlign val="superscript"/>
        <sz val="11"/>
        <color theme="1"/>
        <rFont val="Calibri"/>
        <family val="2"/>
        <scheme val="minor"/>
      </rPr>
      <t>3</t>
    </r>
    <r>
      <rPr>
        <sz val="11"/>
        <color theme="1"/>
        <rFont val="Calibri"/>
        <family val="2"/>
        <scheme val="minor"/>
      </rPr>
      <t>)</t>
    </r>
  </si>
  <si>
    <t>LAYER VOLUME</t>
  </si>
  <si>
    <r>
      <t>(m</t>
    </r>
    <r>
      <rPr>
        <vertAlign val="superscript"/>
        <sz val="11"/>
        <color theme="1"/>
        <rFont val="Calibri"/>
        <family val="2"/>
        <scheme val="minor"/>
      </rPr>
      <t>2</t>
    </r>
    <r>
      <rPr>
        <sz val="11"/>
        <color theme="1"/>
        <rFont val="Calibri"/>
        <family val="2"/>
        <scheme val="minor"/>
      </rPr>
      <t>)</t>
    </r>
  </si>
  <si>
    <t>LAYER AREA</t>
  </si>
  <si>
    <t>(m)</t>
  </si>
  <si>
    <t>GRAHAM LAKE BATHYMETRY DATA</t>
  </si>
  <si>
    <t>Average Secchi Depth =</t>
  </si>
  <si>
    <t>feet</t>
  </si>
  <si>
    <t>(feet)</t>
  </si>
  <si>
    <t>Top Elevation of Littoral Zone =</t>
  </si>
  <si>
    <t>Bottom Elevation of Littoral Zone =</t>
  </si>
  <si>
    <t>ELEVATION</t>
  </si>
  <si>
    <t>meters</t>
  </si>
  <si>
    <t>LITTORAL ZONE BATHYMETRY DATA</t>
  </si>
  <si>
    <t>TOP</t>
  </si>
  <si>
    <t>BOT</t>
  </si>
  <si>
    <t>(ft)</t>
  </si>
  <si>
    <t>Littoral Zone Depth (2 x  Secchi Depth) =</t>
  </si>
  <si>
    <r>
      <t>m</t>
    </r>
    <r>
      <rPr>
        <vertAlign val="superscript"/>
        <sz val="11"/>
        <color theme="1"/>
        <rFont val="Calibri"/>
        <family val="2"/>
        <scheme val="minor"/>
      </rPr>
      <t>2</t>
    </r>
  </si>
  <si>
    <r>
      <t>m</t>
    </r>
    <r>
      <rPr>
        <vertAlign val="superscript"/>
        <sz val="11"/>
        <color theme="1"/>
        <rFont val="Calibri"/>
        <family val="2"/>
        <scheme val="minor"/>
      </rPr>
      <t>3</t>
    </r>
  </si>
  <si>
    <r>
      <t>(m</t>
    </r>
    <r>
      <rPr>
        <vertAlign val="superscript"/>
        <sz val="11"/>
        <rFont val="Calibri"/>
        <family val="2"/>
        <scheme val="minor"/>
      </rPr>
      <t>2</t>
    </r>
    <r>
      <rPr>
        <sz val="11"/>
        <rFont val="Calibri"/>
        <family val="2"/>
        <scheme val="minor"/>
      </rPr>
      <t>)</t>
    </r>
  </si>
  <si>
    <r>
      <t>(m</t>
    </r>
    <r>
      <rPr>
        <vertAlign val="superscript"/>
        <sz val="11"/>
        <rFont val="Calibri"/>
        <family val="2"/>
        <scheme val="minor"/>
      </rPr>
      <t>3</t>
    </r>
    <r>
      <rPr>
        <sz val="11"/>
        <rFont val="Calibri"/>
        <family val="2"/>
        <scheme val="minor"/>
      </rPr>
      <t>)</t>
    </r>
  </si>
  <si>
    <t>CUMULATIVE VOL.</t>
  </si>
  <si>
    <t>LITTORAL AREA</t>
  </si>
  <si>
    <t>LITTORAL VOL.</t>
  </si>
  <si>
    <t>→</t>
  </si>
  <si>
    <t>DRAWDOWN LEVEL BATHYMETRY DATA</t>
  </si>
  <si>
    <t>Remaining Littoral Area at Drawdown =</t>
  </si>
  <si>
    <t>% Total Littoral Area Remaining =</t>
  </si>
  <si>
    <t>Remaining Littoral Volume at Drawdown =</t>
  </si>
  <si>
    <t>% Total Littoral Volume Remaining =</t>
  </si>
  <si>
    <t>Drawdown Depth =</t>
  </si>
  <si>
    <t>Elevation of Water Surface at Drawdown =</t>
  </si>
  <si>
    <t>GRAH</t>
  </si>
  <si>
    <t>LAKE</t>
  </si>
  <si>
    <t>MIDAS</t>
  </si>
  <si>
    <t>BASIN</t>
  </si>
  <si>
    <t>LAYRVOL</t>
  </si>
  <si>
    <t>VOL_Z</t>
  </si>
  <si>
    <t>AREAPCT</t>
  </si>
  <si>
    <t>VOLPCT</t>
  </si>
  <si>
    <t>(acres)</t>
  </si>
  <si>
    <t>Graham Lake Drawdown - Littoral Zone Standard Analysis (MDEP Bathymetry)</t>
  </si>
  <si>
    <t>Total Littoral Area =</t>
  </si>
  <si>
    <t>Total Littoral Volume =</t>
  </si>
  <si>
    <t>MDEP Bathymetry Data for Graham Lake (MIDAS 4350)</t>
  </si>
  <si>
    <t>(Source: H:\L&amp;W\DATABASES\FOXPRO\WATERSHED\LAKES\Bathymetry Contour Data\Contour1.xlsx)</t>
  </si>
  <si>
    <t>Graham Lake Drawdown - Littoral Zone Standard Analysis (Black Bear Hydro Partners)</t>
  </si>
  <si>
    <t>BBHP LAYER AREA</t>
  </si>
  <si>
    <t>Proposed Mean High Water Elevation =</t>
  </si>
  <si>
    <t>NOTE: The 0.0-foot depth is NOT tied to an elevation.  The surface area given for the 0.0-foot depth is in square meters and equal to 8,454 acres.  This is substantially less than the 9,383-acre surface area at elevation 32 meters (105 feet) from the Lakes of Maine.org website, which sources the data from MDEP.  Google Earth has the lake's surface elevation at 102 feet.</t>
  </si>
  <si>
    <t>NOTE: The 0.0-foot depth is at elevation 105 feet (32 meters), which is the lake's surface elevation from the Lakes of Maine.org website.  All layer areas from the MDEP Lakes Bathymetry sheet are adjusted by a factor of (9383/8454).</t>
  </si>
  <si>
    <t>(This analysis assumes the 0-foot depth is at elevation 104.20 feet and the surface area is 8,454 acres)</t>
  </si>
  <si>
    <t>(This analysis assumes the 0-foot depth is at elevation 104.2 feet and the surface area is 9,383 acres)</t>
  </si>
  <si>
    <t>(This analysis assumes the 0-foot depth is at elevation of 105 feet and the surface area is 9,383 acres)</t>
  </si>
  <si>
    <t>(This analysis assumes the 0-foot depth is at elev. 105 feet and the MDEP bathymetry starts at elev. 102 feet)</t>
  </si>
  <si>
    <t>NOTE: The 0.0-foot depth is at elevation 105 feet (32 meters), which is the lake's surface elevation from the Lakes of Maine.org website.  The surface area is 9,383 acres, which is the surface area from the Lakes of Maine.org website.  The MDEP bathymetry starts at 102 feet, which is the lake's surface elevation from Google Earth.</t>
  </si>
  <si>
    <t>MDEP</t>
  </si>
  <si>
    <t>BBHP</t>
  </si>
  <si>
    <t>Graham Lake Bathymetry Dataset</t>
  </si>
  <si>
    <t>Littoral Zone Analyses Results</t>
  </si>
  <si>
    <r>
      <t xml:space="preserve">0-foot Depth Elevation       </t>
    </r>
    <r>
      <rPr>
        <sz val="12"/>
        <color theme="1"/>
        <rFont val="Calibri"/>
        <family val="2"/>
        <scheme val="minor"/>
      </rPr>
      <t>(feet)</t>
    </r>
  </si>
  <si>
    <r>
      <t xml:space="preserve">Graham Lake Surface Area              </t>
    </r>
    <r>
      <rPr>
        <sz val="12"/>
        <color theme="1"/>
        <rFont val="Calibri"/>
        <family val="2"/>
        <scheme val="minor"/>
      </rPr>
      <t xml:space="preserve"> (acres)</t>
    </r>
  </si>
  <si>
    <r>
      <t xml:space="preserve">Littoral Area Remaining Full Drawdown                   </t>
    </r>
    <r>
      <rPr>
        <sz val="12"/>
        <rFont val="Calibri"/>
        <family val="2"/>
        <scheme val="minor"/>
      </rPr>
      <t xml:space="preserve">  (%)</t>
    </r>
  </si>
  <si>
    <t>No</t>
  </si>
  <si>
    <t>Yes</t>
  </si>
  <si>
    <t>LAYRAREA</t>
  </si>
  <si>
    <t>Layer Area Adjustments       ?</t>
  </si>
  <si>
    <t>[</t>
  </si>
  <si>
    <t>NOTE: The 0.0-foot depth is at elevation 104.2 feet, which is the lake's full pond surface elevation in the BBHP's March 2025 analysis and the MDEP analyses done in 2020.</t>
  </si>
  <si>
    <t>NOTE: The 0.0-foot depth is at elevation 104.2 feet, which is the lake's full pond surface elevation in the BBHP's March 2025 analysis and the MDEP analyses done in 2019.  The bathyetry dataset extends to a depth of 14.2 feet rather than the 47-foot depth of the lake.</t>
  </si>
  <si>
    <t>(This analysis uses the bathymetry data from the Black Bear Hydro Partners letter to MDEP dated March 10, 2025)</t>
  </si>
  <si>
    <t>NOTE: The 0.0-foot depth is at elevation 104.2 feet, which is the lake's full pond surface elevation in the BBHP's March 2025 analysis and the MDEP analyses done in 2020.  All layer areas from the MDEP Lakes Bathymetry sheet are adjusted by a factor of (9383/8454).  The results do not differ (nor should they) from MDEP-1.</t>
  </si>
  <si>
    <t>NOTE:  This result (77%) differs from BBHP's result (75%).  This is likely due to different equations being used to compute the layer volumes.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</si>
</sst>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1" x14ac:knownFonts="1">
    <font>
      <sz val="11"/>
      <color theme="1"/>
      <name val="Calibri"/>
      <family val="2"/>
      <scheme val="minor"/>
    </font>
    <font>
      <b/>
      <sz val="11"/>
      <color theme="1"/>
      <name val="Calibri"/>
      <family val="2"/>
      <scheme val="minor"/>
    </font>
    <font>
      <vertAlign val="superscript"/>
      <sz val="11"/>
      <color theme="1"/>
      <name val="Calibri"/>
      <family val="2"/>
      <scheme val="minor"/>
    </font>
    <font>
      <b/>
      <sz val="14"/>
      <color theme="1"/>
      <name val="Calibri"/>
      <family val="2"/>
      <scheme val="minor"/>
    </font>
    <font>
      <b/>
      <sz val="11"/>
      <color theme="4"/>
      <name val="Calibri"/>
      <family val="2"/>
      <scheme val="minor"/>
    </font>
    <font>
      <b/>
      <sz val="11"/>
      <name val="Calibri"/>
      <family val="2"/>
      <scheme val="minor"/>
    </font>
    <font>
      <sz val="11"/>
      <name val="Calibri"/>
      <family val="2"/>
      <scheme val="minor"/>
    </font>
    <font>
      <sz val="11"/>
      <color theme="0" tint="-0.24994659260841701"/>
      <name val="Calibri"/>
      <family val="2"/>
      <scheme val="minor"/>
    </font>
    <font>
      <vertAlign val="superscript"/>
      <sz val="11"/>
      <name val="Calibri"/>
      <family val="2"/>
      <scheme val="minor"/>
    </font>
    <font>
      <b/>
      <sz val="11"/>
      <color theme="0" tint="-0.24994659260841701"/>
      <name val="Calibri"/>
      <family val="2"/>
      <scheme val="minor"/>
    </font>
    <font>
      <b/>
      <sz val="12"/>
      <name val="Calibri"/>
      <family val="2"/>
      <scheme val="minor"/>
    </font>
    <font>
      <b/>
      <sz val="11"/>
      <color theme="0" tint="-0.24994659260841701"/>
      <name val="Calibri"/>
      <family val="2"/>
    </font>
    <font>
      <sz val="11"/>
      <color theme="8"/>
      <name val="Calibri"/>
      <family val="2"/>
      <scheme val="minor"/>
    </font>
    <font>
      <sz val="11"/>
      <color rgb="FFFF0000"/>
      <name val="Calibri"/>
      <family val="2"/>
      <scheme val="minor"/>
    </font>
    <font>
      <sz val="12"/>
      <color rgb="FFFF0000"/>
      <name val="Calibri"/>
      <family val="2"/>
      <scheme val="minor"/>
    </font>
    <font>
      <b/>
      <sz val="16"/>
      <color theme="1"/>
      <name val="Calibri"/>
      <family val="2"/>
      <scheme val="minor"/>
    </font>
    <font>
      <i/>
      <sz val="12"/>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rgb="FFED0000"/>
      <name val="Calibri"/>
      <family val="2"/>
      <scheme val="minor"/>
    </font>
    <font>
      <b/>
      <sz val="11"/>
      <color theme="9" tint="-0.249977111117893"/>
      <name val="Calibri"/>
      <family val="2"/>
      <scheme val="minor"/>
    </font>
    <font>
      <b/>
      <sz val="11"/>
      <color theme="9" tint="-0.249977111117893"/>
      <name val="Calibri"/>
      <family val="2"/>
    </font>
    <font>
      <b/>
      <sz val="12"/>
      <color theme="8" tint="-0.499984740745262"/>
      <name val="Calibri"/>
      <family val="2"/>
      <scheme val="minor"/>
    </font>
    <font>
      <sz val="11"/>
      <color theme="8" tint="-0.499984740745262"/>
      <name val="Calibri"/>
      <family val="2"/>
      <scheme val="minor"/>
    </font>
    <font>
      <sz val="11"/>
      <color rgb="FFAA0000"/>
      <name val="Calibri"/>
      <family val="2"/>
      <scheme val="minor"/>
    </font>
    <font>
      <sz val="12"/>
      <color rgb="FFAA0000"/>
      <name val="Calibri"/>
      <family val="2"/>
      <scheme val="minor"/>
    </font>
    <font>
      <b/>
      <sz val="12"/>
      <color theme="9" tint="-0.499984740745262"/>
      <name val="Calibri"/>
      <family val="2"/>
      <scheme val="minor"/>
    </font>
    <font>
      <b/>
      <sz val="11"/>
      <color theme="8" tint="-0.499984740745262"/>
      <name val="Calibri"/>
      <family val="2"/>
      <scheme val="minor"/>
    </font>
    <font>
      <sz val="11"/>
      <color theme="9" tint="-0.249977111117893"/>
      <name val="Calibri"/>
      <family val="2"/>
      <scheme val="minor"/>
    </font>
    <font>
      <b/>
      <sz val="11"/>
      <color rgb="FFAA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s>
  <borders count="9">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7">
    <xf numFmtId="0" fontId="0" fillId="0" borderId="0" xfId="0"/>
    <xf numFmtId="0" fontId="0" fillId="0" borderId="0" xfId="0"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3" fontId="0" fillId="0" borderId="0" xfId="0" applyNumberFormat="1" applyAlignment="1">
      <alignment horizontal="center"/>
    </xf>
    <xf numFmtId="164" fontId="1" fillId="0" borderId="0" xfId="0" applyNumberFormat="1" applyFont="1" applyAlignment="1">
      <alignment horizontal="center"/>
    </xf>
    <xf numFmtId="2" fontId="1" fillId="0" borderId="0" xfId="0" applyNumberFormat="1" applyFont="1" applyAlignment="1">
      <alignment horizontal="center"/>
    </xf>
    <xf numFmtId="0" fontId="1" fillId="0" borderId="0" xfId="0" applyFont="1" applyAlignment="1">
      <alignment horizontal="center"/>
    </xf>
    <xf numFmtId="2" fontId="0" fillId="0" borderId="0" xfId="0" applyNumberFormat="1"/>
    <xf numFmtId="0" fontId="0" fillId="0" borderId="0" xfId="0" applyAlignment="1">
      <alignment horizontal="right"/>
    </xf>
    <xf numFmtId="2" fontId="6" fillId="0" borderId="0" xfId="0" applyNumberFormat="1" applyFont="1"/>
    <xf numFmtId="2" fontId="4" fillId="0" borderId="0" xfId="0" applyNumberFormat="1" applyFont="1" applyAlignment="1">
      <alignment horizontal="center"/>
    </xf>
    <xf numFmtId="2" fontId="6" fillId="0" borderId="0" xfId="0" applyNumberFormat="1"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5" fillId="0" borderId="0" xfId="0" applyFont="1" applyAlignment="1">
      <alignment horizontal="center"/>
    </xf>
    <xf numFmtId="0" fontId="6" fillId="0" borderId="0" xfId="0" applyFont="1"/>
    <xf numFmtId="3" fontId="6" fillId="0" borderId="0" xfId="0" applyNumberFormat="1" applyFont="1" applyAlignment="1">
      <alignment horizontal="center"/>
    </xf>
    <xf numFmtId="0" fontId="1" fillId="0" borderId="0" xfId="0" applyFont="1"/>
    <xf numFmtId="0" fontId="7" fillId="0" borderId="0" xfId="0" applyFont="1"/>
    <xf numFmtId="2" fontId="7" fillId="0" borderId="0" xfId="0" applyNumberFormat="1" applyFont="1"/>
    <xf numFmtId="0" fontId="11" fillId="0" borderId="0" xfId="0" applyFont="1" applyAlignment="1">
      <alignment horizontal="center"/>
    </xf>
    <xf numFmtId="2" fontId="12" fillId="0" borderId="0" xfId="0" applyNumberFormat="1" applyFont="1" applyAlignment="1">
      <alignment horizontal="center"/>
    </xf>
    <xf numFmtId="3" fontId="12" fillId="0" borderId="0" xfId="0" applyNumberFormat="1" applyFont="1" applyAlignment="1">
      <alignment horizontal="center"/>
    </xf>
    <xf numFmtId="1" fontId="1" fillId="0" borderId="0" xfId="0" applyNumberFormat="1" applyFont="1" applyAlignment="1">
      <alignment horizontal="center"/>
    </xf>
    <xf numFmtId="1" fontId="0" fillId="0" borderId="0" xfId="0" applyNumberFormat="1" applyAlignment="1">
      <alignment horizontal="center"/>
    </xf>
    <xf numFmtId="165" fontId="6" fillId="0" borderId="0" xfId="0" applyNumberFormat="1" applyFont="1" applyAlignment="1">
      <alignment horizontal="center"/>
    </xf>
    <xf numFmtId="165" fontId="0" fillId="0" borderId="0" xfId="0" applyNumberFormat="1" applyAlignment="1">
      <alignment horizontal="center"/>
    </xf>
    <xf numFmtId="0" fontId="14" fillId="0" borderId="0" xfId="0" applyFont="1" applyAlignment="1">
      <alignment horizontal="center" wrapText="1"/>
    </xf>
    <xf numFmtId="0" fontId="17" fillId="3" borderId="6" xfId="0" applyFont="1" applyFill="1" applyBorder="1" applyAlignment="1">
      <alignment horizontal="center" vertical="top" wrapText="1"/>
    </xf>
    <xf numFmtId="0" fontId="17" fillId="3" borderId="7" xfId="0" applyFont="1" applyFill="1" applyBorder="1" applyAlignment="1">
      <alignment horizontal="center" vertical="top" wrapText="1"/>
    </xf>
    <xf numFmtId="0" fontId="10" fillId="3" borderId="8" xfId="0" applyFont="1" applyFill="1" applyBorder="1" applyAlignment="1">
      <alignment horizontal="center" vertical="top" wrapText="1"/>
    </xf>
    <xf numFmtId="0" fontId="18" fillId="4" borderId="1" xfId="0" applyFont="1" applyFill="1" applyBorder="1" applyAlignment="1">
      <alignment horizontal="center" vertical="center"/>
    </xf>
    <xf numFmtId="0" fontId="18" fillId="5" borderId="1" xfId="0" applyFont="1" applyFill="1" applyBorder="1" applyAlignment="1">
      <alignment horizontal="center" vertical="center"/>
    </xf>
    <xf numFmtId="0" fontId="18" fillId="4" borderId="3" xfId="0" applyFont="1" applyFill="1" applyBorder="1" applyAlignment="1">
      <alignment horizontal="center" vertical="center"/>
    </xf>
    <xf numFmtId="4" fontId="18" fillId="4" borderId="4" xfId="0" applyNumberFormat="1" applyFont="1" applyFill="1" applyBorder="1" applyAlignment="1">
      <alignment horizontal="center" vertical="center"/>
    </xf>
    <xf numFmtId="3" fontId="18" fillId="4" borderId="4" xfId="0" applyNumberFormat="1" applyFont="1" applyFill="1" applyBorder="1" applyAlignment="1">
      <alignment horizontal="center" vertical="center"/>
    </xf>
    <xf numFmtId="2" fontId="18" fillId="4" borderId="4" xfId="0" applyNumberFormat="1" applyFont="1" applyFill="1" applyBorder="1" applyAlignment="1">
      <alignment horizontal="center" vertical="center"/>
    </xf>
    <xf numFmtId="4" fontId="18" fillId="4" borderId="0" xfId="0" applyNumberFormat="1" applyFont="1" applyFill="1" applyAlignment="1">
      <alignment horizontal="center" vertical="center"/>
    </xf>
    <xf numFmtId="3" fontId="18" fillId="4" borderId="0" xfId="0" applyNumberFormat="1" applyFont="1" applyFill="1" applyAlignment="1">
      <alignment horizontal="center" vertical="center"/>
    </xf>
    <xf numFmtId="2" fontId="18" fillId="4" borderId="0" xfId="0" applyNumberFormat="1" applyFont="1" applyFill="1" applyAlignment="1">
      <alignment horizontal="center" vertical="center"/>
    </xf>
    <xf numFmtId="4" fontId="18" fillId="5" borderId="0" xfId="0" applyNumberFormat="1" applyFont="1" applyFill="1" applyAlignment="1">
      <alignment horizontal="center" vertical="center"/>
    </xf>
    <xf numFmtId="3" fontId="18" fillId="5" borderId="0" xfId="0" applyNumberFormat="1" applyFont="1" applyFill="1" applyAlignment="1">
      <alignment horizontal="center" vertical="center"/>
    </xf>
    <xf numFmtId="2" fontId="18" fillId="5" borderId="0" xfId="0" applyNumberFormat="1" applyFont="1" applyFill="1" applyAlignment="1">
      <alignment horizontal="center" vertical="center"/>
    </xf>
    <xf numFmtId="1" fontId="10" fillId="2" borderId="0" xfId="0" applyNumberFormat="1" applyFont="1" applyFill="1" applyAlignment="1">
      <alignment horizontal="center"/>
    </xf>
    <xf numFmtId="0" fontId="13" fillId="0" borderId="0" xfId="0" applyFont="1" applyAlignment="1">
      <alignment horizontal="left" vertical="top" wrapText="1"/>
    </xf>
    <xf numFmtId="2" fontId="10" fillId="2" borderId="0" xfId="0" applyNumberFormat="1" applyFont="1" applyFill="1" applyAlignment="1">
      <alignment horizontal="center"/>
    </xf>
    <xf numFmtId="164" fontId="10" fillId="2" borderId="0" xfId="0" applyNumberFormat="1" applyFont="1" applyFill="1" applyAlignment="1">
      <alignment horizontal="center"/>
    </xf>
    <xf numFmtId="0" fontId="15" fillId="0" borderId="0" xfId="0" applyFont="1" applyAlignment="1">
      <alignment horizontal="center"/>
    </xf>
    <xf numFmtId="0" fontId="16" fillId="0" borderId="0" xfId="0" applyFont="1" applyAlignment="1">
      <alignment horizontal="center"/>
    </xf>
    <xf numFmtId="0" fontId="3" fillId="0" borderId="0" xfId="0" applyFont="1" applyAlignment="1">
      <alignment horizontal="center"/>
    </xf>
    <xf numFmtId="0" fontId="11" fillId="0" borderId="0" xfId="0" applyFont="1" applyAlignment="1">
      <alignment horizontal="center"/>
    </xf>
    <xf numFmtId="0" fontId="9" fillId="0" borderId="0" xfId="0" applyFont="1" applyAlignment="1">
      <alignment horizontal="center"/>
    </xf>
    <xf numFmtId="0" fontId="0" fillId="0" borderId="0" xfId="0" applyAlignment="1">
      <alignment horizontal="right"/>
    </xf>
    <xf numFmtId="0" fontId="1" fillId="0" borderId="0" xfId="0" applyFont="1" applyAlignment="1">
      <alignment horizontal="right"/>
    </xf>
    <xf numFmtId="0" fontId="15" fillId="6" borderId="6" xfId="0" applyFont="1" applyFill="1" applyBorder="1" applyAlignment="1">
      <alignment horizontal="center"/>
    </xf>
    <xf numFmtId="0" fontId="15" fillId="6" borderId="7" xfId="0" applyFont="1" applyFill="1" applyBorder="1" applyAlignment="1">
      <alignment horizontal="center"/>
    </xf>
    <xf numFmtId="0" fontId="15" fillId="6" borderId="8" xfId="0" applyFont="1" applyFill="1" applyBorder="1" applyAlignment="1">
      <alignment horizontal="center"/>
    </xf>
    <xf numFmtId="1" fontId="20" fillId="0" borderId="0" xfId="0" applyNumberFormat="1" applyFont="1" applyAlignment="1">
      <alignment horizontal="left" vertical="top" wrapText="1"/>
    </xf>
    <xf numFmtId="0" fontId="21" fillId="0" borderId="0" xfId="0" applyFont="1" applyAlignment="1">
      <alignment horizontal="center"/>
    </xf>
    <xf numFmtId="0" fontId="22" fillId="0" borderId="0" xfId="0" applyFont="1" applyAlignment="1">
      <alignment horizontal="center"/>
    </xf>
    <xf numFmtId="0" fontId="21" fillId="0" borderId="0" xfId="0" applyFont="1" applyAlignment="1">
      <alignment horizontal="center"/>
    </xf>
    <xf numFmtId="2" fontId="23" fillId="0" borderId="0" xfId="0" applyNumberFormat="1" applyFont="1" applyAlignment="1">
      <alignment horizontal="center"/>
    </xf>
    <xf numFmtId="2" fontId="24" fillId="0" borderId="0" xfId="0" applyNumberFormat="1" applyFont="1" applyAlignment="1">
      <alignment horizontal="center"/>
    </xf>
    <xf numFmtId="0" fontId="25" fillId="0" borderId="0" xfId="0" applyFont="1" applyAlignment="1">
      <alignment horizontal="left" vertical="top" wrapText="1"/>
    </xf>
    <xf numFmtId="0" fontId="26" fillId="0" borderId="0" xfId="0" applyFont="1" applyAlignment="1">
      <alignment horizontal="center"/>
    </xf>
    <xf numFmtId="1" fontId="27" fillId="5" borderId="2" xfId="0" applyNumberFormat="1" applyFont="1" applyFill="1" applyBorder="1" applyAlignment="1">
      <alignment horizontal="center" vertical="center"/>
    </xf>
    <xf numFmtId="3" fontId="24" fillId="0" borderId="0" xfId="0" applyNumberFormat="1" applyFont="1" applyAlignment="1">
      <alignment horizontal="center"/>
    </xf>
    <xf numFmtId="0" fontId="26" fillId="0" borderId="0" xfId="0" applyFont="1" applyAlignment="1">
      <alignment horizontal="center" wrapText="1"/>
    </xf>
    <xf numFmtId="2" fontId="28" fillId="0" borderId="0" xfId="0" applyNumberFormat="1" applyFont="1" applyAlignment="1">
      <alignment horizontal="center"/>
    </xf>
    <xf numFmtId="0" fontId="29" fillId="0" borderId="0" xfId="0" applyFont="1" applyAlignment="1">
      <alignment horizontal="center"/>
    </xf>
    <xf numFmtId="2" fontId="29" fillId="0" borderId="0" xfId="0" applyNumberFormat="1" applyFont="1" applyAlignment="1">
      <alignment horizontal="center"/>
    </xf>
    <xf numFmtId="4" fontId="29" fillId="0" borderId="0" xfId="0" applyNumberFormat="1" applyFont="1" applyAlignment="1">
      <alignment horizontal="center"/>
    </xf>
    <xf numFmtId="0" fontId="30" fillId="0" borderId="0" xfId="0" applyFont="1"/>
    <xf numFmtId="1" fontId="27" fillId="4" borderId="2" xfId="0" applyNumberFormat="1" applyFont="1" applyFill="1" applyBorder="1" applyAlignment="1">
      <alignment horizontal="center" vertical="center"/>
    </xf>
    <xf numFmtId="1" fontId="27" fillId="4" borderId="5" xfId="0" applyNumberFormat="1" applyFont="1" applyFill="1" applyBorder="1" applyAlignment="1">
      <alignment horizontal="center" vertical="center"/>
    </xf>
    <xf numFmtId="2" fontId="23" fillId="2"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0890D-DED6-47F4-964D-8B711FE293E8}">
  <dimension ref="A1:I25"/>
  <sheetViews>
    <sheetView workbookViewId="0">
      <selection activeCell="A22" sqref="A22:I25"/>
    </sheetView>
  </sheetViews>
  <sheetFormatPr defaultRowHeight="14.4" x14ac:dyDescent="0.3"/>
  <cols>
    <col min="5" max="7" width="15.6640625" customWidth="1"/>
  </cols>
  <sheetData>
    <row r="1" spans="1:9" ht="21" x14ac:dyDescent="0.4">
      <c r="A1" s="48" t="s">
        <v>46</v>
      </c>
      <c r="B1" s="48"/>
      <c r="C1" s="48"/>
      <c r="D1" s="48"/>
      <c r="E1" s="48"/>
      <c r="F1" s="48"/>
      <c r="G1" s="48"/>
      <c r="H1" s="48"/>
      <c r="I1" s="48"/>
    </row>
    <row r="2" spans="1:9" ht="15.6" x14ac:dyDescent="0.3">
      <c r="A2" s="49" t="s">
        <v>47</v>
      </c>
      <c r="B2" s="49"/>
      <c r="C2" s="49"/>
      <c r="D2" s="49"/>
      <c r="E2" s="49"/>
      <c r="F2" s="49"/>
      <c r="G2" s="49"/>
      <c r="H2" s="49"/>
      <c r="I2" s="49"/>
    </row>
    <row r="4" spans="1:9" x14ac:dyDescent="0.3">
      <c r="A4" s="24" t="s">
        <v>35</v>
      </c>
      <c r="B4" s="24" t="s">
        <v>36</v>
      </c>
      <c r="C4" s="24" t="s">
        <v>37</v>
      </c>
      <c r="D4" s="5" t="s">
        <v>0</v>
      </c>
      <c r="E4" s="6" t="s">
        <v>67</v>
      </c>
      <c r="F4" s="24" t="s">
        <v>38</v>
      </c>
      <c r="G4" s="24" t="s">
        <v>39</v>
      </c>
      <c r="H4" s="6" t="s">
        <v>40</v>
      </c>
      <c r="I4" s="6" t="s">
        <v>41</v>
      </c>
    </row>
    <row r="5" spans="1:9" x14ac:dyDescent="0.3">
      <c r="A5" s="25" t="s">
        <v>34</v>
      </c>
      <c r="B5" s="25">
        <v>4350</v>
      </c>
      <c r="C5" s="25">
        <v>1</v>
      </c>
      <c r="D5" s="2">
        <v>0</v>
      </c>
      <c r="E5" s="4">
        <v>34211342</v>
      </c>
      <c r="F5" s="4">
        <v>31770170</v>
      </c>
      <c r="G5" s="4">
        <v>134464664</v>
      </c>
      <c r="H5" s="3">
        <v>100</v>
      </c>
      <c r="I5" s="3">
        <v>100</v>
      </c>
    </row>
    <row r="6" spans="1:9" x14ac:dyDescent="0.3">
      <c r="A6" s="25" t="s">
        <v>34</v>
      </c>
      <c r="B6" s="25">
        <v>4350</v>
      </c>
      <c r="C6" s="25">
        <v>1</v>
      </c>
      <c r="D6" s="2">
        <v>1</v>
      </c>
      <c r="E6" s="4">
        <v>29390000</v>
      </c>
      <c r="F6" s="4">
        <v>27983407</v>
      </c>
      <c r="G6" s="4">
        <v>102694494</v>
      </c>
      <c r="H6" s="3">
        <v>85.91</v>
      </c>
      <c r="I6" s="3">
        <v>76.37</v>
      </c>
    </row>
    <row r="7" spans="1:9" x14ac:dyDescent="0.3">
      <c r="A7" s="25" t="s">
        <v>34</v>
      </c>
      <c r="B7" s="25">
        <v>4350</v>
      </c>
      <c r="C7" s="25">
        <v>1</v>
      </c>
      <c r="D7" s="2">
        <v>2</v>
      </c>
      <c r="E7" s="4">
        <v>26600000</v>
      </c>
      <c r="F7" s="4">
        <v>24686982</v>
      </c>
      <c r="G7" s="4">
        <v>74711087</v>
      </c>
      <c r="H7" s="3">
        <v>77.75</v>
      </c>
      <c r="I7" s="3">
        <v>55.56</v>
      </c>
    </row>
    <row r="8" spans="1:9" x14ac:dyDescent="0.3">
      <c r="A8" s="25" t="s">
        <v>34</v>
      </c>
      <c r="B8" s="25">
        <v>4350</v>
      </c>
      <c r="C8" s="25">
        <v>1</v>
      </c>
      <c r="D8" s="2">
        <v>3</v>
      </c>
      <c r="E8" s="4">
        <v>22822165</v>
      </c>
      <c r="F8" s="4">
        <v>19833446</v>
      </c>
      <c r="G8" s="4">
        <v>50024105</v>
      </c>
      <c r="H8" s="3">
        <v>66.709999999999994</v>
      </c>
      <c r="I8" s="3">
        <v>37.200000000000003</v>
      </c>
    </row>
    <row r="9" spans="1:9" x14ac:dyDescent="0.3">
      <c r="A9" s="25" t="s">
        <v>34</v>
      </c>
      <c r="B9" s="25">
        <v>4350</v>
      </c>
      <c r="C9" s="25">
        <v>1</v>
      </c>
      <c r="D9" s="2">
        <v>4</v>
      </c>
      <c r="E9" s="4">
        <v>16988000</v>
      </c>
      <c r="F9" s="4">
        <v>13285490</v>
      </c>
      <c r="G9" s="4">
        <v>30190659</v>
      </c>
      <c r="H9" s="3">
        <v>49.66</v>
      </c>
      <c r="I9" s="3">
        <v>22.45</v>
      </c>
    </row>
    <row r="10" spans="1:9" x14ac:dyDescent="0.3">
      <c r="A10" s="25" t="s">
        <v>34</v>
      </c>
      <c r="B10" s="25">
        <v>4350</v>
      </c>
      <c r="C10" s="25">
        <v>1</v>
      </c>
      <c r="D10" s="2">
        <v>5</v>
      </c>
      <c r="E10" s="4">
        <v>9900000</v>
      </c>
      <c r="F10" s="4">
        <v>7286526</v>
      </c>
      <c r="G10" s="4">
        <v>16905169</v>
      </c>
      <c r="H10" s="3">
        <v>28.94</v>
      </c>
      <c r="I10" s="3">
        <v>12.57</v>
      </c>
    </row>
    <row r="11" spans="1:9" x14ac:dyDescent="0.3">
      <c r="A11" s="25" t="s">
        <v>34</v>
      </c>
      <c r="B11" s="25">
        <v>4350</v>
      </c>
      <c r="C11" s="25">
        <v>1</v>
      </c>
      <c r="D11" s="2">
        <v>6</v>
      </c>
      <c r="E11" s="4">
        <v>4955402</v>
      </c>
      <c r="F11" s="4">
        <v>4254403</v>
      </c>
      <c r="G11" s="4">
        <v>9618643</v>
      </c>
      <c r="H11" s="3">
        <v>14.48</v>
      </c>
      <c r="I11" s="3">
        <v>7.15</v>
      </c>
    </row>
    <row r="12" spans="1:9" x14ac:dyDescent="0.3">
      <c r="A12" s="25" t="s">
        <v>34</v>
      </c>
      <c r="B12" s="25">
        <v>4350</v>
      </c>
      <c r="C12" s="25">
        <v>1</v>
      </c>
      <c r="D12" s="2">
        <v>7</v>
      </c>
      <c r="E12" s="4">
        <v>3590000</v>
      </c>
      <c r="F12" s="4">
        <v>2789816</v>
      </c>
      <c r="G12" s="4">
        <v>5364240</v>
      </c>
      <c r="H12" s="3">
        <v>10.49</v>
      </c>
      <c r="I12" s="3">
        <v>3.99</v>
      </c>
    </row>
    <row r="13" spans="1:9" x14ac:dyDescent="0.3">
      <c r="A13" s="25" t="s">
        <v>34</v>
      </c>
      <c r="B13" s="25">
        <v>4350</v>
      </c>
      <c r="C13" s="25">
        <v>1</v>
      </c>
      <c r="D13" s="2">
        <v>8</v>
      </c>
      <c r="E13" s="4">
        <v>2060000</v>
      </c>
      <c r="F13" s="4">
        <v>1205949</v>
      </c>
      <c r="G13" s="4">
        <v>2574424</v>
      </c>
      <c r="H13" s="3">
        <v>6.02</v>
      </c>
      <c r="I13" s="3">
        <v>1.91</v>
      </c>
    </row>
    <row r="14" spans="1:9" x14ac:dyDescent="0.3">
      <c r="A14" s="25" t="s">
        <v>34</v>
      </c>
      <c r="B14" s="25">
        <v>4350</v>
      </c>
      <c r="C14" s="25">
        <v>1</v>
      </c>
      <c r="D14" s="2">
        <v>9</v>
      </c>
      <c r="E14" s="4">
        <v>521434</v>
      </c>
      <c r="F14" s="4">
        <v>471028</v>
      </c>
      <c r="G14" s="4">
        <v>1368475</v>
      </c>
      <c r="H14" s="3">
        <v>1.52</v>
      </c>
      <c r="I14" s="3">
        <v>1.02</v>
      </c>
    </row>
    <row r="15" spans="1:9" x14ac:dyDescent="0.3">
      <c r="A15" s="25" t="s">
        <v>34</v>
      </c>
      <c r="B15" s="25">
        <v>4350</v>
      </c>
      <c r="C15" s="25">
        <v>1</v>
      </c>
      <c r="D15" s="2">
        <v>10</v>
      </c>
      <c r="E15" s="4">
        <v>422361</v>
      </c>
      <c r="F15" s="4">
        <v>371723</v>
      </c>
      <c r="G15" s="4">
        <v>897447</v>
      </c>
      <c r="H15" s="3">
        <v>1.23</v>
      </c>
      <c r="I15" s="3">
        <v>0.67</v>
      </c>
    </row>
    <row r="16" spans="1:9" x14ac:dyDescent="0.3">
      <c r="A16" s="25" t="s">
        <v>34</v>
      </c>
      <c r="B16" s="25">
        <v>4350</v>
      </c>
      <c r="C16" s="25">
        <v>1</v>
      </c>
      <c r="D16" s="2">
        <v>11</v>
      </c>
      <c r="E16" s="4">
        <v>323289</v>
      </c>
      <c r="F16" s="4">
        <v>272247</v>
      </c>
      <c r="G16" s="4">
        <v>525724</v>
      </c>
      <c r="H16" s="3">
        <v>0.94</v>
      </c>
      <c r="I16" s="3">
        <v>0.39</v>
      </c>
    </row>
    <row r="17" spans="1:9" x14ac:dyDescent="0.3">
      <c r="A17" s="25" t="s">
        <v>34</v>
      </c>
      <c r="B17" s="25">
        <v>4350</v>
      </c>
      <c r="C17" s="25">
        <v>1</v>
      </c>
      <c r="D17" s="2">
        <v>12</v>
      </c>
      <c r="E17" s="4">
        <v>224217</v>
      </c>
      <c r="F17" s="4">
        <v>175179</v>
      </c>
      <c r="G17" s="4">
        <v>253477</v>
      </c>
      <c r="H17" s="3">
        <v>0.66</v>
      </c>
      <c r="I17" s="3">
        <v>0.19</v>
      </c>
    </row>
    <row r="18" spans="1:9" x14ac:dyDescent="0.3">
      <c r="A18" s="25" t="s">
        <v>34</v>
      </c>
      <c r="B18" s="25">
        <v>4350</v>
      </c>
      <c r="C18" s="25">
        <v>1</v>
      </c>
      <c r="D18" s="2">
        <v>13</v>
      </c>
      <c r="E18" s="4">
        <v>130358</v>
      </c>
      <c r="F18" s="4">
        <v>75169</v>
      </c>
      <c r="G18" s="4">
        <v>78298</v>
      </c>
      <c r="H18" s="3">
        <v>0.38</v>
      </c>
      <c r="I18" s="3">
        <v>0.06</v>
      </c>
    </row>
    <row r="19" spans="1:9" x14ac:dyDescent="0.3">
      <c r="A19" s="25" t="s">
        <v>34</v>
      </c>
      <c r="B19" s="25">
        <v>4350</v>
      </c>
      <c r="C19" s="25">
        <v>1</v>
      </c>
      <c r="D19" s="2">
        <v>14</v>
      </c>
      <c r="E19" s="4">
        <v>31286</v>
      </c>
      <c r="F19" s="4">
        <v>3129</v>
      </c>
      <c r="G19" s="4">
        <v>3129</v>
      </c>
      <c r="H19" s="3">
        <v>0.09</v>
      </c>
      <c r="I19" s="3">
        <v>0</v>
      </c>
    </row>
    <row r="20" spans="1:9" x14ac:dyDescent="0.3">
      <c r="A20" s="25" t="s">
        <v>34</v>
      </c>
      <c r="B20" s="25">
        <v>4350</v>
      </c>
      <c r="C20" s="25">
        <v>1</v>
      </c>
      <c r="D20" s="2">
        <v>14.3</v>
      </c>
      <c r="E20" s="4">
        <v>0</v>
      </c>
      <c r="F20" s="4">
        <v>0</v>
      </c>
      <c r="G20" s="4">
        <v>0</v>
      </c>
      <c r="H20" s="3">
        <v>0</v>
      </c>
      <c r="I20" s="3">
        <v>0</v>
      </c>
    </row>
    <row r="22" spans="1:9" ht="15" customHeight="1" x14ac:dyDescent="0.3">
      <c r="A22" s="58" t="s">
        <v>51</v>
      </c>
      <c r="B22" s="58"/>
      <c r="C22" s="58"/>
      <c r="D22" s="58"/>
      <c r="E22" s="58"/>
      <c r="F22" s="58"/>
      <c r="G22" s="58"/>
      <c r="H22" s="58"/>
      <c r="I22" s="58"/>
    </row>
    <row r="23" spans="1:9" x14ac:dyDescent="0.3">
      <c r="A23" s="58"/>
      <c r="B23" s="58"/>
      <c r="C23" s="58"/>
      <c r="D23" s="58"/>
      <c r="E23" s="58"/>
      <c r="F23" s="58"/>
      <c r="G23" s="58"/>
      <c r="H23" s="58"/>
      <c r="I23" s="58"/>
    </row>
    <row r="24" spans="1:9" x14ac:dyDescent="0.3">
      <c r="A24" s="58"/>
      <c r="B24" s="58"/>
      <c r="C24" s="58"/>
      <c r="D24" s="58"/>
      <c r="E24" s="58"/>
      <c r="F24" s="58"/>
      <c r="G24" s="58"/>
      <c r="H24" s="58"/>
      <c r="I24" s="58"/>
    </row>
    <row r="25" spans="1:9" x14ac:dyDescent="0.3">
      <c r="A25" s="58"/>
      <c r="B25" s="58"/>
      <c r="C25" s="58"/>
      <c r="D25" s="58"/>
      <c r="E25" s="58"/>
      <c r="F25" s="58"/>
      <c r="G25" s="58"/>
      <c r="H25" s="58"/>
      <c r="I25" s="58"/>
    </row>
  </sheetData>
  <mergeCells count="3">
    <mergeCell ref="A1:I1"/>
    <mergeCell ref="A2:I2"/>
    <mergeCell ref="A22:I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4E98-4957-448D-BE69-425EB4678D89}">
  <dimension ref="A1:U43"/>
  <sheetViews>
    <sheetView topLeftCell="J1" workbookViewId="0">
      <selection activeCell="N23" activeCellId="1" sqref="F22:G39 N23:O39"/>
    </sheetView>
  </sheetViews>
  <sheetFormatPr defaultRowHeight="14.4" x14ac:dyDescent="0.3"/>
  <cols>
    <col min="1" max="5" width="20.6640625" customWidth="1"/>
    <col min="6" max="7" width="6.6640625" style="13" customWidth="1"/>
    <col min="8" max="8" width="18.6640625" style="13" customWidth="1"/>
    <col min="9" max="11" width="18.6640625" style="1" customWidth="1"/>
    <col min="12" max="13" width="18.6640625" customWidth="1"/>
    <col min="14" max="15" width="6.6640625" style="19" customWidth="1"/>
    <col min="16" max="18" width="18.6640625" customWidth="1"/>
    <col min="19" max="20" width="18.6640625" style="1" customWidth="1"/>
    <col min="21" max="21" width="18.6640625" customWidth="1"/>
    <col min="22" max="22" width="6.6640625" customWidth="1"/>
  </cols>
  <sheetData>
    <row r="1" spans="1:21" ht="21" x14ac:dyDescent="0.4">
      <c r="A1" s="48" t="s">
        <v>43</v>
      </c>
      <c r="B1" s="48"/>
      <c r="C1" s="48"/>
      <c r="D1" s="48"/>
      <c r="E1" s="48"/>
    </row>
    <row r="2" spans="1:21" ht="15.6" x14ac:dyDescent="0.3">
      <c r="A2" s="65" t="s">
        <v>53</v>
      </c>
      <c r="B2" s="65"/>
      <c r="C2" s="65"/>
      <c r="D2" s="65"/>
      <c r="E2" s="65"/>
      <c r="S2"/>
      <c r="T2"/>
    </row>
    <row r="3" spans="1:21" x14ac:dyDescent="0.3">
      <c r="A3" s="1"/>
      <c r="B3" s="1"/>
      <c r="C3" s="1"/>
      <c r="D3" s="1"/>
      <c r="E3" s="1"/>
      <c r="S3"/>
      <c r="T3"/>
    </row>
    <row r="4" spans="1:21" ht="15.6" x14ac:dyDescent="0.3">
      <c r="A4" s="53" t="s">
        <v>50</v>
      </c>
      <c r="B4" s="53"/>
      <c r="C4" s="62">
        <v>103</v>
      </c>
      <c r="D4" t="s">
        <v>8</v>
      </c>
      <c r="S4"/>
      <c r="T4"/>
    </row>
    <row r="5" spans="1:21" ht="15.6" x14ac:dyDescent="0.3">
      <c r="A5" s="53" t="s">
        <v>7</v>
      </c>
      <c r="B5" s="53"/>
      <c r="C5" s="62">
        <v>1.77</v>
      </c>
      <c r="D5" t="s">
        <v>13</v>
      </c>
      <c r="S5"/>
      <c r="T5"/>
    </row>
    <row r="6" spans="1:21" ht="15.6" x14ac:dyDescent="0.3">
      <c r="A6" s="53" t="s">
        <v>32</v>
      </c>
      <c r="B6" s="53"/>
      <c r="C6" s="62">
        <v>2.9</v>
      </c>
      <c r="D6" t="s">
        <v>8</v>
      </c>
      <c r="S6"/>
      <c r="T6"/>
    </row>
    <row r="7" spans="1:21" x14ac:dyDescent="0.3">
      <c r="A7" s="9"/>
      <c r="B7" s="9"/>
      <c r="C7" s="11"/>
      <c r="S7"/>
      <c r="T7"/>
    </row>
    <row r="8" spans="1:21" x14ac:dyDescent="0.3">
      <c r="A8" s="9"/>
      <c r="B8" s="9" t="s">
        <v>18</v>
      </c>
      <c r="C8" s="1">
        <f>C5*2</f>
        <v>3.54</v>
      </c>
      <c r="D8" s="16" t="s">
        <v>13</v>
      </c>
      <c r="P8" s="16"/>
      <c r="Q8" s="16"/>
      <c r="U8" s="8"/>
    </row>
    <row r="9" spans="1:21" x14ac:dyDescent="0.3">
      <c r="A9" s="9"/>
      <c r="B9" s="9" t="s">
        <v>10</v>
      </c>
      <c r="C9" s="12">
        <f>C4</f>
        <v>103</v>
      </c>
      <c r="D9" t="s">
        <v>8</v>
      </c>
      <c r="U9" s="8"/>
    </row>
    <row r="10" spans="1:21" x14ac:dyDescent="0.3">
      <c r="A10" s="1"/>
      <c r="B10" s="9" t="s">
        <v>11</v>
      </c>
      <c r="C10" s="12">
        <f>C4-(C8*3.28084)</f>
        <v>91.385826399999999</v>
      </c>
      <c r="D10" t="s">
        <v>8</v>
      </c>
      <c r="F10"/>
      <c r="G10"/>
      <c r="H10"/>
    </row>
    <row r="11" spans="1:21" x14ac:dyDescent="0.3">
      <c r="A11" s="1"/>
      <c r="B11" s="9" t="s">
        <v>33</v>
      </c>
      <c r="C11" s="12">
        <f>C9-C6</f>
        <v>100.1</v>
      </c>
      <c r="D11" t="s">
        <v>8</v>
      </c>
      <c r="F11"/>
      <c r="G11"/>
      <c r="H11"/>
    </row>
    <row r="12" spans="1:21" x14ac:dyDescent="0.3">
      <c r="A12" s="1"/>
      <c r="B12" s="9"/>
      <c r="C12" s="12"/>
      <c r="F12"/>
      <c r="G12"/>
      <c r="H12"/>
    </row>
    <row r="13" spans="1:21" ht="16.2" x14ac:dyDescent="0.3">
      <c r="A13" s="53" t="s">
        <v>28</v>
      </c>
      <c r="B13" s="53"/>
      <c r="C13" s="17">
        <f>MAX(S24:S39)</f>
        <v>11155581.133686483</v>
      </c>
      <c r="D13" t="s">
        <v>19</v>
      </c>
      <c r="F13"/>
      <c r="G13"/>
      <c r="H13"/>
    </row>
    <row r="14" spans="1:21" ht="16.2" x14ac:dyDescent="0.3">
      <c r="A14" s="53" t="s">
        <v>44</v>
      </c>
      <c r="B14" s="53"/>
      <c r="C14" s="17">
        <f>MAX(K24:K39)</f>
        <v>14910076.228625588</v>
      </c>
      <c r="D14" t="s">
        <v>19</v>
      </c>
      <c r="F14"/>
      <c r="G14"/>
      <c r="H14"/>
    </row>
    <row r="15" spans="1:21" ht="15.6" x14ac:dyDescent="0.3">
      <c r="A15" s="54" t="s">
        <v>29</v>
      </c>
      <c r="B15" s="54"/>
      <c r="C15" s="44">
        <f>(C13/C14)*100</f>
        <v>74.819075118268557</v>
      </c>
      <c r="D15" s="18"/>
      <c r="F15"/>
      <c r="G15"/>
      <c r="H15"/>
    </row>
    <row r="16" spans="1:21" x14ac:dyDescent="0.3">
      <c r="A16" s="1"/>
      <c r="B16" s="9"/>
      <c r="C16" s="12"/>
      <c r="F16"/>
      <c r="G16"/>
      <c r="H16"/>
    </row>
    <row r="17" spans="1:21" ht="16.2" x14ac:dyDescent="0.3">
      <c r="A17" s="53" t="s">
        <v>30</v>
      </c>
      <c r="B17" s="53"/>
      <c r="C17" s="17">
        <f>MAX(U24:U39)</f>
        <v>63651672.401209936</v>
      </c>
      <c r="D17" t="s">
        <v>20</v>
      </c>
      <c r="F17"/>
      <c r="G17"/>
      <c r="H17"/>
    </row>
    <row r="18" spans="1:21" ht="16.2" x14ac:dyDescent="0.3">
      <c r="A18" s="53" t="s">
        <v>45</v>
      </c>
      <c r="B18" s="53"/>
      <c r="C18" s="17">
        <f>MAX(M24:M39)</f>
        <v>90498201.020517215</v>
      </c>
      <c r="D18" t="s">
        <v>20</v>
      </c>
      <c r="F18"/>
      <c r="G18"/>
      <c r="H18"/>
    </row>
    <row r="19" spans="1:21" ht="15.6" x14ac:dyDescent="0.3">
      <c r="A19" s="54" t="s">
        <v>31</v>
      </c>
      <c r="B19" s="54"/>
      <c r="C19" s="47">
        <f>(C17/C18)*100</f>
        <v>70.334737799682017</v>
      </c>
      <c r="D19" s="18"/>
      <c r="F19"/>
      <c r="G19"/>
      <c r="H19"/>
    </row>
    <row r="20" spans="1:21" x14ac:dyDescent="0.3">
      <c r="F20"/>
      <c r="G20"/>
      <c r="H20"/>
      <c r="L20" s="1"/>
      <c r="M20" s="10"/>
      <c r="N20" s="20"/>
      <c r="O20" s="20"/>
      <c r="P20" s="10"/>
      <c r="Q20" s="10"/>
    </row>
    <row r="21" spans="1:21" ht="18" x14ac:dyDescent="0.35">
      <c r="A21" s="50" t="s">
        <v>6</v>
      </c>
      <c r="B21" s="50"/>
      <c r="C21" s="50"/>
      <c r="D21" s="50"/>
      <c r="E21" s="50"/>
      <c r="F21" s="60" t="s">
        <v>26</v>
      </c>
      <c r="G21" s="61"/>
      <c r="H21" s="50" t="s">
        <v>14</v>
      </c>
      <c r="I21" s="50"/>
      <c r="J21" s="50"/>
      <c r="K21" s="50"/>
      <c r="L21" s="50"/>
      <c r="M21" s="50"/>
      <c r="N21" s="60" t="s">
        <v>26</v>
      </c>
      <c r="O21" s="52"/>
      <c r="P21" s="50" t="s">
        <v>27</v>
      </c>
      <c r="Q21" s="50"/>
      <c r="R21" s="50"/>
      <c r="S21" s="50"/>
      <c r="T21" s="50"/>
      <c r="U21" s="50"/>
    </row>
    <row r="22" spans="1:21" ht="16.5" customHeight="1" x14ac:dyDescent="0.3">
      <c r="A22" s="5" t="s">
        <v>0</v>
      </c>
      <c r="B22" s="5" t="s">
        <v>12</v>
      </c>
      <c r="C22" s="6" t="s">
        <v>4</v>
      </c>
      <c r="D22" s="6" t="s">
        <v>2</v>
      </c>
      <c r="E22" s="7" t="s">
        <v>23</v>
      </c>
      <c r="F22" s="70" t="s">
        <v>15</v>
      </c>
      <c r="G22" s="70" t="s">
        <v>16</v>
      </c>
      <c r="H22" s="15" t="s">
        <v>0</v>
      </c>
      <c r="I22" s="7" t="s">
        <v>12</v>
      </c>
      <c r="J22" s="7" t="s">
        <v>4</v>
      </c>
      <c r="K22" s="7" t="s">
        <v>24</v>
      </c>
      <c r="L22" s="7" t="s">
        <v>2</v>
      </c>
      <c r="M22" s="7" t="s">
        <v>25</v>
      </c>
      <c r="N22" s="59" t="s">
        <v>15</v>
      </c>
      <c r="O22" s="59" t="s">
        <v>16</v>
      </c>
      <c r="P22" s="7" t="s">
        <v>0</v>
      </c>
      <c r="Q22" s="7" t="s">
        <v>12</v>
      </c>
      <c r="R22" s="15" t="s">
        <v>4</v>
      </c>
      <c r="S22" s="15" t="s">
        <v>24</v>
      </c>
      <c r="T22" s="15" t="s">
        <v>2</v>
      </c>
      <c r="U22" s="15" t="s">
        <v>25</v>
      </c>
    </row>
    <row r="23" spans="1:21" ht="16.5" customHeight="1" x14ac:dyDescent="0.3">
      <c r="A23" s="2" t="s">
        <v>5</v>
      </c>
      <c r="B23" s="2" t="s">
        <v>9</v>
      </c>
      <c r="C23" s="3" t="s">
        <v>3</v>
      </c>
      <c r="D23" s="3" t="s">
        <v>1</v>
      </c>
      <c r="E23" s="1" t="s">
        <v>1</v>
      </c>
      <c r="F23" s="70" t="s">
        <v>17</v>
      </c>
      <c r="G23" s="70" t="s">
        <v>17</v>
      </c>
      <c r="H23" s="14" t="s">
        <v>5</v>
      </c>
      <c r="I23" s="1" t="s">
        <v>9</v>
      </c>
      <c r="J23" s="1" t="s">
        <v>3</v>
      </c>
      <c r="K23" s="1" t="s">
        <v>3</v>
      </c>
      <c r="L23" s="1" t="s">
        <v>1</v>
      </c>
      <c r="M23" s="1" t="s">
        <v>1</v>
      </c>
      <c r="N23" s="70" t="s">
        <v>17</v>
      </c>
      <c r="O23" s="70" t="s">
        <v>17</v>
      </c>
      <c r="P23" s="1" t="s">
        <v>5</v>
      </c>
      <c r="Q23" s="1" t="s">
        <v>9</v>
      </c>
      <c r="R23" s="14" t="s">
        <v>21</v>
      </c>
      <c r="S23" s="14" t="s">
        <v>21</v>
      </c>
      <c r="T23" s="14" t="s">
        <v>22</v>
      </c>
      <c r="U23" s="14" t="s">
        <v>22</v>
      </c>
    </row>
    <row r="24" spans="1:21" x14ac:dyDescent="0.3">
      <c r="A24" s="12">
        <f>'MDEP Bathymetry'!D5</f>
        <v>0</v>
      </c>
      <c r="B24" s="63">
        <v>104.2</v>
      </c>
      <c r="C24" s="17">
        <f>'MDEP Bathymetry'!E5</f>
        <v>34211342</v>
      </c>
      <c r="D24" s="4">
        <f t="shared" ref="D24:D37" si="0">(1/3)*(C24+C25+((C24*C25)^0.5))*(A25-A24)</f>
        <v>31770170.032208223</v>
      </c>
      <c r="E24" s="4">
        <f t="shared" ref="E24:E37" si="1">E25+D24</f>
        <v>134464665.10891581</v>
      </c>
      <c r="F24" s="71">
        <f>IF($C$9=B24,B24, IF($C$9&lt;B24,IF($C$9&gt;B25,$C$9,""),""))</f>
        <v>103</v>
      </c>
      <c r="G24" s="71" t="str">
        <f>IF(B24&gt;$C$10,"",IF(B24=$C$10,$C$10,IF(B24&lt;$C$10,IF(B23&gt;$C$10,$C$10,""),"")))</f>
        <v/>
      </c>
      <c r="H24" s="26">
        <f t="shared" ref="H24:H39" si="2">IF(I24="","",($C$9-I24)/3.28084)</f>
        <v>0</v>
      </c>
      <c r="I24" s="3">
        <f t="shared" ref="I24:I39" si="3">IF(F24=$C$9,F24, IF(G24=$C$10,G24,IF(B24&gt;$C$10,IF(B24&lt;$C$9,B24,""),"")))</f>
        <v>103</v>
      </c>
      <c r="J24" s="4">
        <f>IF(I24=B24,C24,IF(I24=$C$9,((((I24-I25)/(B24-I25))*(C24-J25))+J25),IF(I24=$C$10,((((I24-B24)/(B23-B24))*(C23-C24))+C24),"")))</f>
        <v>32447888.006510522</v>
      </c>
      <c r="K24" s="4">
        <f>IF(J24="","",J24-(MIN($J$24:$J$39)))</f>
        <v>14910076.228625588</v>
      </c>
      <c r="L24" s="4">
        <f>IF(I24="","",IF(I24=$C$10,0,((1/3)*(J24+J25+((J24*J25)^0.5))*(H25-H24))))</f>
        <v>19602034.415034126</v>
      </c>
      <c r="M24" s="4">
        <f>IF(L24="","",IF(L24=0,0,(M25+L24)))</f>
        <v>90498201.020517215</v>
      </c>
      <c r="N24" s="72" t="str">
        <f>IF(I24="","",IF($C$11&lt;I24,IF($C$11&gt;I25,$C$11,""),""))</f>
        <v/>
      </c>
      <c r="O24" s="72" t="str">
        <f>G24</f>
        <v/>
      </c>
      <c r="P24" s="27" t="str">
        <f>IF(Q24="","",(($C$11-Q24)/3.28084))</f>
        <v/>
      </c>
      <c r="Q24" s="3" t="str">
        <f>IF(N24=$C$11, $C$11,IF(I24&gt;$C$11,"",I24))</f>
        <v/>
      </c>
      <c r="R24" s="4" t="str">
        <f>IF(Q24="","",IF(Q24=$C$11,((((Q24-Q25)/(I24-Q25))*(J24-J25))+J25),J24))</f>
        <v/>
      </c>
      <c r="S24" s="4" t="str">
        <f>IF(R24="","",R24-MIN($R$24:$R$39))</f>
        <v/>
      </c>
      <c r="T24" s="4" t="str">
        <f>IF(Q24="","",IF(I24=$C$10,0,((1/3)*(R24+R25+((R24*R25)^0.5))*(P25-P24))))</f>
        <v/>
      </c>
      <c r="U24" s="4" t="str">
        <f>IF(T24="","",IF(T24=0,0,(U25+T24)))</f>
        <v/>
      </c>
    </row>
    <row r="25" spans="1:21" x14ac:dyDescent="0.3">
      <c r="A25" s="12">
        <f>'MDEP Bathymetry'!D6</f>
        <v>1</v>
      </c>
      <c r="B25" s="12">
        <f>$B$24-(A25*3.28084)</f>
        <v>100.91916000000001</v>
      </c>
      <c r="C25" s="17">
        <f>'MDEP Bathymetry'!E6</f>
        <v>29390000</v>
      </c>
      <c r="D25" s="4">
        <f t="shared" si="0"/>
        <v>27983407.248157062</v>
      </c>
      <c r="E25" s="4">
        <f t="shared" si="1"/>
        <v>102694495.07670757</v>
      </c>
      <c r="F25" s="71" t="str">
        <f t="shared" ref="F25:F39" si="4">IF($C$9=B25,B25, IF($C$9&lt;B25,IF($C$9&gt;B26,$C$9,""),""))</f>
        <v/>
      </c>
      <c r="G25" s="71" t="str">
        <f t="shared" ref="G25:G39" si="5">IF(B25&gt;$C$10,"",IF(B25=$C$10,$C$10,IF(B25&lt;$C$10,IF(B24&gt;$C$10,$C$10,""),"")))</f>
        <v/>
      </c>
      <c r="H25" s="26">
        <f t="shared" si="2"/>
        <v>0.6342400117043181</v>
      </c>
      <c r="I25" s="3">
        <f t="shared" si="3"/>
        <v>100.91916000000001</v>
      </c>
      <c r="J25" s="4">
        <f t="shared" ref="J25:J39" si="6">IF(I25=B25,C25,IF(I25=$C$9,((((I25-I26)/(B25-I26))*(C25-J26))+J26),IF(I25=$C$10,((((I25-B25)/(B24-B25))*(C24-C25))+C25),"")))</f>
        <v>29390000</v>
      </c>
      <c r="K25" s="4">
        <f t="shared" ref="K25:K39" si="7">IF(J25="","",J25-(MIN($J$24:$J$39)))</f>
        <v>11852188.222115066</v>
      </c>
      <c r="L25" s="4">
        <f t="shared" ref="L25:L39" si="8">IF(I25="","",IF(I25=$C$10,0,((1/3)*(J25+J26+((J25*J26)^0.5))*(H26-H25))))</f>
        <v>27983407.248157043</v>
      </c>
      <c r="M25" s="4">
        <f t="shared" ref="M25:M39" si="9">IF(L25="","",IF(L25=0,0,(M26+L25)))</f>
        <v>70896166.605483085</v>
      </c>
      <c r="N25" s="72">
        <f t="shared" ref="N25:N39" si="10">IF(I25="","",IF($C$11&lt;I25,IF($C$11&gt;I26,$C$11,""),""))</f>
        <v>100.1</v>
      </c>
      <c r="O25" s="72" t="str">
        <f t="shared" ref="O25:O39" si="11">G25</f>
        <v/>
      </c>
      <c r="P25" s="27">
        <f t="shared" ref="P25:P39" si="12">IF(Q25="","",(($C$11-Q25)/3.28084))</f>
        <v>0</v>
      </c>
      <c r="Q25" s="3">
        <f t="shared" ref="Q25:Q39" si="13">IF(N25=$C$11, $C$11,IF(I25&gt;$C$11,"",I25))</f>
        <v>100.1</v>
      </c>
      <c r="R25" s="4">
        <f t="shared" ref="R25:R39" si="14">IF(Q25="","",IF(Q25=$C$11,((((Q25-Q26)/(I25-Q26))*(J25-J26))+J26),J25))</f>
        <v>28693392.911571417</v>
      </c>
      <c r="S25" s="4">
        <f t="shared" ref="S25:S39" si="15">IF(R25="","",R25-MIN($R$24:$R$39))</f>
        <v>11155581.133686483</v>
      </c>
      <c r="T25" s="4">
        <f t="shared" ref="T25:T39" si="16">IF(Q25="","",IF(I25=$C$10,0,((1/3)*(R25+R26+((R25*R26)^0.5))*(P26-P25))))</f>
        <v>20738913.043883897</v>
      </c>
      <c r="U25" s="4">
        <f t="shared" ref="U25:U39" si="17">IF(T25="","",IF(T25=0,0,(U26+T25)))</f>
        <v>63651672.401209936</v>
      </c>
    </row>
    <row r="26" spans="1:21" x14ac:dyDescent="0.3">
      <c r="A26" s="12">
        <f>'MDEP Bathymetry'!D7</f>
        <v>2</v>
      </c>
      <c r="B26" s="12">
        <f t="shared" ref="B26:B39" si="18">$B$24-(A26*3.28084)</f>
        <v>97.638320000000007</v>
      </c>
      <c r="C26" s="17">
        <f>'MDEP Bathymetry'!E7</f>
        <v>26600000</v>
      </c>
      <c r="D26" s="4">
        <f t="shared" si="0"/>
        <v>24686982.404741593</v>
      </c>
      <c r="E26" s="4">
        <f t="shared" si="1"/>
        <v>74711087.828550518</v>
      </c>
      <c r="F26" s="71" t="str">
        <f t="shared" si="4"/>
        <v/>
      </c>
      <c r="G26" s="71" t="str">
        <f t="shared" si="5"/>
        <v/>
      </c>
      <c r="H26" s="26">
        <f t="shared" si="2"/>
        <v>1.6342400117043174</v>
      </c>
      <c r="I26" s="3">
        <f t="shared" si="3"/>
        <v>97.638320000000007</v>
      </c>
      <c r="J26" s="4">
        <f t="shared" si="6"/>
        <v>26600000</v>
      </c>
      <c r="K26" s="4">
        <f t="shared" si="7"/>
        <v>9062188.2221150659</v>
      </c>
      <c r="L26" s="4">
        <f t="shared" si="8"/>
        <v>24686982.404741578</v>
      </c>
      <c r="M26" s="4">
        <f t="shared" si="9"/>
        <v>42912759.357326038</v>
      </c>
      <c r="N26" s="72" t="str">
        <f t="shared" si="10"/>
        <v/>
      </c>
      <c r="O26" s="72" t="str">
        <f t="shared" si="11"/>
        <v/>
      </c>
      <c r="P26" s="27">
        <f t="shared" si="12"/>
        <v>0.75032003998975472</v>
      </c>
      <c r="Q26" s="3">
        <f t="shared" si="13"/>
        <v>97.638320000000007</v>
      </c>
      <c r="R26" s="4">
        <f t="shared" si="14"/>
        <v>26600000</v>
      </c>
      <c r="S26" s="4">
        <f t="shared" si="15"/>
        <v>9062188.2221150659</v>
      </c>
      <c r="T26" s="4">
        <f t="shared" si="16"/>
        <v>24686982.404741578</v>
      </c>
      <c r="U26" s="4">
        <f t="shared" si="17"/>
        <v>42912759.357326038</v>
      </c>
    </row>
    <row r="27" spans="1:21" x14ac:dyDescent="0.3">
      <c r="A27" s="12">
        <f>'MDEP Bathymetry'!D8</f>
        <v>3</v>
      </c>
      <c r="B27" s="12">
        <f t="shared" si="18"/>
        <v>94.35748000000001</v>
      </c>
      <c r="C27" s="17">
        <f>'MDEP Bathymetry'!E8</f>
        <v>22822165</v>
      </c>
      <c r="D27" s="4">
        <f t="shared" si="0"/>
        <v>19833446.222192653</v>
      </c>
      <c r="E27" s="4">
        <f>E28+D27</f>
        <v>50024105.423808932</v>
      </c>
      <c r="F27" s="71" t="str">
        <f t="shared" si="4"/>
        <v/>
      </c>
      <c r="G27" s="71" t="str">
        <f t="shared" si="5"/>
        <v/>
      </c>
      <c r="H27" s="26">
        <f t="shared" si="2"/>
        <v>2.6342400117043168</v>
      </c>
      <c r="I27" s="3">
        <f t="shared" si="3"/>
        <v>94.35748000000001</v>
      </c>
      <c r="J27" s="4">
        <f t="shared" si="6"/>
        <v>22822165</v>
      </c>
      <c r="K27" s="4">
        <f t="shared" si="7"/>
        <v>5284353.2221150659</v>
      </c>
      <c r="L27" s="4">
        <f t="shared" si="8"/>
        <v>18225776.95258446</v>
      </c>
      <c r="M27" s="4">
        <f t="shared" si="9"/>
        <v>18225776.95258446</v>
      </c>
      <c r="N27" s="72" t="str">
        <f t="shared" si="10"/>
        <v/>
      </c>
      <c r="O27" s="72" t="str">
        <f t="shared" si="11"/>
        <v/>
      </c>
      <c r="P27" s="27">
        <f t="shared" si="12"/>
        <v>1.7503200399897541</v>
      </c>
      <c r="Q27" s="3">
        <f t="shared" si="13"/>
        <v>94.35748000000001</v>
      </c>
      <c r="R27" s="4">
        <f t="shared" si="14"/>
        <v>22822165</v>
      </c>
      <c r="S27" s="4">
        <f t="shared" si="15"/>
        <v>5284353.2221150659</v>
      </c>
      <c r="T27" s="4">
        <f t="shared" si="16"/>
        <v>18225776.95258446</v>
      </c>
      <c r="U27" s="4">
        <f t="shared" si="17"/>
        <v>18225776.95258446</v>
      </c>
    </row>
    <row r="28" spans="1:21" x14ac:dyDescent="0.3">
      <c r="A28" s="12">
        <f>'MDEP Bathymetry'!D9</f>
        <v>4</v>
      </c>
      <c r="B28" s="12">
        <f t="shared" si="18"/>
        <v>91.076639999999998</v>
      </c>
      <c r="C28" s="17">
        <f>'MDEP Bathymetry'!E9</f>
        <v>16988000</v>
      </c>
      <c r="D28" s="4">
        <f t="shared" si="0"/>
        <v>13285489.818265632</v>
      </c>
      <c r="E28" s="4">
        <f t="shared" si="1"/>
        <v>30190659.201616284</v>
      </c>
      <c r="F28" s="71" t="str">
        <f t="shared" si="4"/>
        <v/>
      </c>
      <c r="G28" s="71">
        <f t="shared" si="5"/>
        <v>91.385826399999999</v>
      </c>
      <c r="H28" s="26">
        <f t="shared" si="2"/>
        <v>3.5400000000000005</v>
      </c>
      <c r="I28" s="3">
        <f t="shared" si="3"/>
        <v>91.385826399999999</v>
      </c>
      <c r="J28" s="4">
        <f>IF(I28=B28,C28,IF(I28=$C$9,((((I28-I29)/(B28-I29))*(C28-J29))+J29),IF(I28=$C$10,((((I28-B28)/(B27-B28))*(C27-C28))+C28),"")))</f>
        <v>17537811.777884934</v>
      </c>
      <c r="K28" s="4">
        <f t="shared" si="7"/>
        <v>0</v>
      </c>
      <c r="L28" s="4">
        <f t="shared" si="8"/>
        <v>0</v>
      </c>
      <c r="M28" s="4">
        <f t="shared" si="9"/>
        <v>0</v>
      </c>
      <c r="N28" s="72" t="str">
        <f t="shared" si="10"/>
        <v/>
      </c>
      <c r="O28" s="72">
        <f t="shared" si="11"/>
        <v>91.385826399999999</v>
      </c>
      <c r="P28" s="27">
        <f t="shared" si="12"/>
        <v>2.6560800282854378</v>
      </c>
      <c r="Q28" s="3">
        <f t="shared" si="13"/>
        <v>91.385826399999999</v>
      </c>
      <c r="R28" s="4">
        <f t="shared" si="14"/>
        <v>17537811.777884934</v>
      </c>
      <c r="S28" s="4">
        <f t="shared" si="15"/>
        <v>0</v>
      </c>
      <c r="T28" s="4">
        <f t="shared" si="16"/>
        <v>0</v>
      </c>
      <c r="U28" s="4">
        <f t="shared" si="17"/>
        <v>0</v>
      </c>
    </row>
    <row r="29" spans="1:21" x14ac:dyDescent="0.3">
      <c r="A29" s="12">
        <f>'MDEP Bathymetry'!D10</f>
        <v>5</v>
      </c>
      <c r="B29" s="12">
        <f t="shared" si="18"/>
        <v>87.7958</v>
      </c>
      <c r="C29" s="17">
        <f>'MDEP Bathymetry'!E10</f>
        <v>9900000</v>
      </c>
      <c r="D29" s="4">
        <f t="shared" si="0"/>
        <v>7286525.9610000271</v>
      </c>
      <c r="E29" s="4">
        <f t="shared" si="1"/>
        <v>16905169.383350652</v>
      </c>
      <c r="F29" s="71" t="str">
        <f t="shared" si="4"/>
        <v/>
      </c>
      <c r="G29" s="71" t="str">
        <f t="shared" si="5"/>
        <v/>
      </c>
      <c r="H29" s="26" t="str">
        <f t="shared" si="2"/>
        <v/>
      </c>
      <c r="I29" s="3" t="str">
        <f t="shared" si="3"/>
        <v/>
      </c>
      <c r="J29" s="4" t="str">
        <f t="shared" si="6"/>
        <v/>
      </c>
      <c r="K29" s="4" t="str">
        <f t="shared" si="7"/>
        <v/>
      </c>
      <c r="L29" s="4" t="str">
        <f t="shared" si="8"/>
        <v/>
      </c>
      <c r="M29" s="4" t="str">
        <f t="shared" si="9"/>
        <v/>
      </c>
      <c r="N29" s="72" t="str">
        <f t="shared" si="10"/>
        <v/>
      </c>
      <c r="O29" s="72" t="str">
        <f t="shared" si="11"/>
        <v/>
      </c>
      <c r="P29" s="27" t="str">
        <f t="shared" si="12"/>
        <v/>
      </c>
      <c r="Q29" s="3" t="str">
        <f t="shared" si="13"/>
        <v/>
      </c>
      <c r="R29" s="4" t="str">
        <f t="shared" si="14"/>
        <v/>
      </c>
      <c r="S29" s="4" t="str">
        <f t="shared" si="15"/>
        <v/>
      </c>
      <c r="T29" s="4" t="str">
        <f t="shared" si="16"/>
        <v/>
      </c>
      <c r="U29" s="4" t="str">
        <f t="shared" si="17"/>
        <v/>
      </c>
    </row>
    <row r="30" spans="1:21" x14ac:dyDescent="0.3">
      <c r="A30" s="12">
        <f>'MDEP Bathymetry'!D11</f>
        <v>6</v>
      </c>
      <c r="B30" s="12">
        <f t="shared" si="18"/>
        <v>84.514960000000002</v>
      </c>
      <c r="C30" s="17">
        <f>'MDEP Bathymetry'!E11</f>
        <v>4955402</v>
      </c>
      <c r="D30" s="4">
        <f t="shared" si="0"/>
        <v>4254402.8929440062</v>
      </c>
      <c r="E30" s="4">
        <f t="shared" si="1"/>
        <v>9618643.4223506246</v>
      </c>
      <c r="F30" s="71" t="str">
        <f t="shared" si="4"/>
        <v/>
      </c>
      <c r="G30" s="71" t="str">
        <f t="shared" si="5"/>
        <v/>
      </c>
      <c r="H30" s="26" t="str">
        <f t="shared" si="2"/>
        <v/>
      </c>
      <c r="I30" s="3" t="str">
        <f t="shared" si="3"/>
        <v/>
      </c>
      <c r="J30" s="4" t="str">
        <f t="shared" si="6"/>
        <v/>
      </c>
      <c r="K30" s="4" t="str">
        <f t="shared" si="7"/>
        <v/>
      </c>
      <c r="L30" s="4" t="str">
        <f t="shared" si="8"/>
        <v/>
      </c>
      <c r="M30" s="4" t="str">
        <f t="shared" si="9"/>
        <v/>
      </c>
      <c r="N30" s="72" t="str">
        <f t="shared" si="10"/>
        <v/>
      </c>
      <c r="O30" s="72" t="str">
        <f t="shared" si="11"/>
        <v/>
      </c>
      <c r="P30" s="27" t="str">
        <f t="shared" si="12"/>
        <v/>
      </c>
      <c r="Q30" s="3" t="str">
        <f t="shared" si="13"/>
        <v/>
      </c>
      <c r="R30" s="4" t="str">
        <f t="shared" si="14"/>
        <v/>
      </c>
      <c r="S30" s="4" t="str">
        <f t="shared" si="15"/>
        <v/>
      </c>
      <c r="T30" s="4" t="str">
        <f t="shared" si="16"/>
        <v/>
      </c>
      <c r="U30" s="4" t="str">
        <f t="shared" si="17"/>
        <v/>
      </c>
    </row>
    <row r="31" spans="1:21" x14ac:dyDescent="0.3">
      <c r="A31" s="12">
        <f>'MDEP Bathymetry'!D12</f>
        <v>7</v>
      </c>
      <c r="B31" s="12">
        <f t="shared" si="18"/>
        <v>81.234120000000004</v>
      </c>
      <c r="C31" s="17">
        <f>'MDEP Bathymetry'!E12</f>
        <v>3590000</v>
      </c>
      <c r="D31" s="4">
        <f t="shared" si="0"/>
        <v>2789816.1578320167</v>
      </c>
      <c r="E31" s="4">
        <f t="shared" si="1"/>
        <v>5364240.5294066183</v>
      </c>
      <c r="F31" s="71" t="str">
        <f t="shared" si="4"/>
        <v/>
      </c>
      <c r="G31" s="71" t="str">
        <f t="shared" si="5"/>
        <v/>
      </c>
      <c r="H31" s="26" t="str">
        <f t="shared" si="2"/>
        <v/>
      </c>
      <c r="I31" s="3" t="str">
        <f t="shared" si="3"/>
        <v/>
      </c>
      <c r="J31" s="4" t="str">
        <f t="shared" si="6"/>
        <v/>
      </c>
      <c r="K31" s="4" t="str">
        <f t="shared" si="7"/>
        <v/>
      </c>
      <c r="L31" s="4" t="str">
        <f t="shared" si="8"/>
        <v/>
      </c>
      <c r="M31" s="4" t="str">
        <f t="shared" si="9"/>
        <v/>
      </c>
      <c r="N31" s="72" t="str">
        <f t="shared" si="10"/>
        <v/>
      </c>
      <c r="O31" s="72" t="str">
        <f t="shared" si="11"/>
        <v/>
      </c>
      <c r="P31" s="27" t="str">
        <f t="shared" si="12"/>
        <v/>
      </c>
      <c r="Q31" s="3" t="str">
        <f t="shared" si="13"/>
        <v/>
      </c>
      <c r="R31" s="4" t="str">
        <f t="shared" si="14"/>
        <v/>
      </c>
      <c r="S31" s="4" t="str">
        <f t="shared" si="15"/>
        <v/>
      </c>
      <c r="T31" s="4" t="str">
        <f t="shared" si="16"/>
        <v/>
      </c>
      <c r="U31" s="4" t="str">
        <f t="shared" si="17"/>
        <v/>
      </c>
    </row>
    <row r="32" spans="1:21" x14ac:dyDescent="0.3">
      <c r="A32" s="12">
        <f>'MDEP Bathymetry'!D13</f>
        <v>8</v>
      </c>
      <c r="B32" s="12">
        <f t="shared" si="18"/>
        <v>77.953280000000007</v>
      </c>
      <c r="C32" s="17">
        <f>'MDEP Bathymetry'!E13</f>
        <v>2060000</v>
      </c>
      <c r="D32" s="4">
        <f t="shared" si="0"/>
        <v>1205949.3430791167</v>
      </c>
      <c r="E32" s="4">
        <f t="shared" si="1"/>
        <v>2574424.3715746012</v>
      </c>
      <c r="F32" s="71" t="str">
        <f t="shared" si="4"/>
        <v/>
      </c>
      <c r="G32" s="71" t="str">
        <f t="shared" si="5"/>
        <v/>
      </c>
      <c r="H32" s="26" t="str">
        <f t="shared" si="2"/>
        <v/>
      </c>
      <c r="I32" s="3" t="str">
        <f t="shared" si="3"/>
        <v/>
      </c>
      <c r="J32" s="4" t="str">
        <f t="shared" si="6"/>
        <v/>
      </c>
      <c r="K32" s="4" t="str">
        <f t="shared" si="7"/>
        <v/>
      </c>
      <c r="L32" s="4" t="str">
        <f t="shared" si="8"/>
        <v/>
      </c>
      <c r="M32" s="4" t="str">
        <f t="shared" si="9"/>
        <v/>
      </c>
      <c r="N32" s="72" t="str">
        <f t="shared" si="10"/>
        <v/>
      </c>
      <c r="O32" s="72" t="str">
        <f t="shared" si="11"/>
        <v/>
      </c>
      <c r="P32" s="27" t="str">
        <f t="shared" si="12"/>
        <v/>
      </c>
      <c r="Q32" s="3" t="str">
        <f t="shared" si="13"/>
        <v/>
      </c>
      <c r="R32" s="4" t="str">
        <f t="shared" si="14"/>
        <v/>
      </c>
      <c r="S32" s="4" t="str">
        <f t="shared" si="15"/>
        <v/>
      </c>
      <c r="T32" s="4" t="str">
        <f t="shared" si="16"/>
        <v/>
      </c>
      <c r="U32" s="4" t="str">
        <f t="shared" si="17"/>
        <v/>
      </c>
    </row>
    <row r="33" spans="1:21" x14ac:dyDescent="0.3">
      <c r="A33" s="12">
        <f>'MDEP Bathymetry'!D14</f>
        <v>9</v>
      </c>
      <c r="B33" s="12">
        <f t="shared" si="18"/>
        <v>74.672439999999995</v>
      </c>
      <c r="C33" s="17">
        <f>'MDEP Bathymetry'!E14</f>
        <v>521434</v>
      </c>
      <c r="D33" s="4">
        <f t="shared" si="0"/>
        <v>471028.43333330133</v>
      </c>
      <c r="E33" s="4">
        <f t="shared" si="1"/>
        <v>1368475.0284954845</v>
      </c>
      <c r="F33" s="71" t="str">
        <f t="shared" si="4"/>
        <v/>
      </c>
      <c r="G33" s="71" t="str">
        <f t="shared" si="5"/>
        <v/>
      </c>
      <c r="H33" s="26" t="str">
        <f t="shared" si="2"/>
        <v/>
      </c>
      <c r="I33" s="3" t="str">
        <f t="shared" si="3"/>
        <v/>
      </c>
      <c r="J33" s="4" t="str">
        <f t="shared" si="6"/>
        <v/>
      </c>
      <c r="K33" s="4" t="str">
        <f t="shared" si="7"/>
        <v/>
      </c>
      <c r="L33" s="4" t="str">
        <f t="shared" si="8"/>
        <v/>
      </c>
      <c r="M33" s="4" t="str">
        <f t="shared" si="9"/>
        <v/>
      </c>
      <c r="N33" s="72" t="str">
        <f t="shared" si="10"/>
        <v/>
      </c>
      <c r="O33" s="72" t="str">
        <f t="shared" si="11"/>
        <v/>
      </c>
      <c r="P33" s="27" t="str">
        <f t="shared" si="12"/>
        <v/>
      </c>
      <c r="Q33" s="3" t="str">
        <f t="shared" si="13"/>
        <v/>
      </c>
      <c r="R33" s="4" t="str">
        <f t="shared" si="14"/>
        <v/>
      </c>
      <c r="S33" s="4" t="str">
        <f t="shared" si="15"/>
        <v/>
      </c>
      <c r="T33" s="4" t="str">
        <f t="shared" si="16"/>
        <v/>
      </c>
      <c r="U33" s="4" t="str">
        <f t="shared" si="17"/>
        <v/>
      </c>
    </row>
    <row r="34" spans="1:21" x14ac:dyDescent="0.3">
      <c r="A34" s="12">
        <f>'MDEP Bathymetry'!D15</f>
        <v>10</v>
      </c>
      <c r="B34" s="12">
        <f t="shared" si="18"/>
        <v>71.391600000000011</v>
      </c>
      <c r="C34" s="17">
        <f>'MDEP Bathymetry'!E15</f>
        <v>422361</v>
      </c>
      <c r="D34" s="4">
        <f t="shared" si="0"/>
        <v>371723.16867321386</v>
      </c>
      <c r="E34" s="4">
        <f t="shared" si="1"/>
        <v>897446.59516218328</v>
      </c>
      <c r="F34" s="71" t="str">
        <f t="shared" si="4"/>
        <v/>
      </c>
      <c r="G34" s="71" t="str">
        <f t="shared" si="5"/>
        <v/>
      </c>
      <c r="H34" s="26" t="str">
        <f t="shared" si="2"/>
        <v/>
      </c>
      <c r="I34" s="3" t="str">
        <f t="shared" si="3"/>
        <v/>
      </c>
      <c r="J34" s="4" t="str">
        <f t="shared" si="6"/>
        <v/>
      </c>
      <c r="K34" s="4" t="str">
        <f t="shared" si="7"/>
        <v/>
      </c>
      <c r="L34" s="4" t="str">
        <f t="shared" si="8"/>
        <v/>
      </c>
      <c r="M34" s="4" t="str">
        <f t="shared" si="9"/>
        <v/>
      </c>
      <c r="N34" s="72" t="str">
        <f t="shared" si="10"/>
        <v/>
      </c>
      <c r="O34" s="72" t="str">
        <f t="shared" si="11"/>
        <v/>
      </c>
      <c r="P34" s="27" t="str">
        <f t="shared" si="12"/>
        <v/>
      </c>
      <c r="Q34" s="3" t="str">
        <f t="shared" si="13"/>
        <v/>
      </c>
      <c r="R34" s="4" t="str">
        <f t="shared" si="14"/>
        <v/>
      </c>
      <c r="S34" s="4" t="str">
        <f t="shared" si="15"/>
        <v/>
      </c>
      <c r="T34" s="4" t="str">
        <f t="shared" si="16"/>
        <v/>
      </c>
      <c r="U34" s="4" t="str">
        <f t="shared" si="17"/>
        <v/>
      </c>
    </row>
    <row r="35" spans="1:21" x14ac:dyDescent="0.3">
      <c r="A35" s="12">
        <f>'MDEP Bathymetry'!D16</f>
        <v>11</v>
      </c>
      <c r="B35" s="12">
        <f t="shared" si="18"/>
        <v>68.110759999999999</v>
      </c>
      <c r="C35" s="17">
        <f>'MDEP Bathymetry'!E16</f>
        <v>323289</v>
      </c>
      <c r="D35" s="4">
        <f t="shared" si="0"/>
        <v>272246.63135475013</v>
      </c>
      <c r="E35" s="4">
        <f t="shared" si="1"/>
        <v>525723.42648896948</v>
      </c>
      <c r="F35" s="71" t="str">
        <f t="shared" si="4"/>
        <v/>
      </c>
      <c r="G35" s="71" t="str">
        <f t="shared" si="5"/>
        <v/>
      </c>
      <c r="H35" s="26" t="str">
        <f t="shared" si="2"/>
        <v/>
      </c>
      <c r="I35" s="3" t="str">
        <f t="shared" si="3"/>
        <v/>
      </c>
      <c r="J35" s="4" t="str">
        <f t="shared" si="6"/>
        <v/>
      </c>
      <c r="K35" s="4" t="str">
        <f t="shared" si="7"/>
        <v/>
      </c>
      <c r="L35" s="4" t="str">
        <f t="shared" si="8"/>
        <v/>
      </c>
      <c r="M35" s="4" t="str">
        <f t="shared" si="9"/>
        <v/>
      </c>
      <c r="N35" s="72" t="str">
        <f t="shared" si="10"/>
        <v/>
      </c>
      <c r="O35" s="72" t="str">
        <f t="shared" si="11"/>
        <v/>
      </c>
      <c r="P35" s="27" t="str">
        <f t="shared" si="12"/>
        <v/>
      </c>
      <c r="Q35" s="3" t="str">
        <f t="shared" si="13"/>
        <v/>
      </c>
      <c r="R35" s="4" t="str">
        <f t="shared" si="14"/>
        <v/>
      </c>
      <c r="S35" s="4" t="str">
        <f t="shared" si="15"/>
        <v/>
      </c>
      <c r="T35" s="4" t="str">
        <f t="shared" si="16"/>
        <v/>
      </c>
      <c r="U35" s="4" t="str">
        <f t="shared" si="17"/>
        <v/>
      </c>
    </row>
    <row r="36" spans="1:21" x14ac:dyDescent="0.3">
      <c r="A36" s="12">
        <f>'MDEP Bathymetry'!D17</f>
        <v>12</v>
      </c>
      <c r="B36" s="12">
        <f t="shared" si="18"/>
        <v>64.829920000000001</v>
      </c>
      <c r="C36" s="17">
        <f>'MDEP Bathymetry'!E17</f>
        <v>224217</v>
      </c>
      <c r="D36" s="4">
        <f t="shared" si="0"/>
        <v>175179.46232503548</v>
      </c>
      <c r="E36" s="4">
        <f t="shared" si="1"/>
        <v>253476.7951342194</v>
      </c>
      <c r="F36" s="71" t="str">
        <f t="shared" si="4"/>
        <v/>
      </c>
      <c r="G36" s="71" t="str">
        <f t="shared" si="5"/>
        <v/>
      </c>
      <c r="H36" s="26" t="str">
        <f t="shared" si="2"/>
        <v/>
      </c>
      <c r="I36" s="3" t="str">
        <f t="shared" si="3"/>
        <v/>
      </c>
      <c r="J36" s="4" t="str">
        <f t="shared" si="6"/>
        <v/>
      </c>
      <c r="K36" s="4" t="str">
        <f t="shared" si="7"/>
        <v/>
      </c>
      <c r="L36" s="4" t="str">
        <f t="shared" si="8"/>
        <v/>
      </c>
      <c r="M36" s="4" t="str">
        <f t="shared" si="9"/>
        <v/>
      </c>
      <c r="N36" s="72" t="str">
        <f t="shared" si="10"/>
        <v/>
      </c>
      <c r="O36" s="72" t="str">
        <f t="shared" si="11"/>
        <v/>
      </c>
      <c r="P36" s="27" t="str">
        <f t="shared" si="12"/>
        <v/>
      </c>
      <c r="Q36" s="3" t="str">
        <f t="shared" si="13"/>
        <v/>
      </c>
      <c r="R36" s="4" t="str">
        <f t="shared" si="14"/>
        <v/>
      </c>
      <c r="S36" s="4" t="str">
        <f t="shared" si="15"/>
        <v/>
      </c>
      <c r="T36" s="4" t="str">
        <f t="shared" si="16"/>
        <v/>
      </c>
      <c r="U36" s="4" t="str">
        <f t="shared" si="17"/>
        <v/>
      </c>
    </row>
    <row r="37" spans="1:21" x14ac:dyDescent="0.3">
      <c r="A37" s="12">
        <f>'MDEP Bathymetry'!D18</f>
        <v>13</v>
      </c>
      <c r="B37" s="12">
        <f t="shared" si="18"/>
        <v>61.549080000000004</v>
      </c>
      <c r="C37" s="17">
        <f>'MDEP Bathymetry'!E18</f>
        <v>130358</v>
      </c>
      <c r="D37" s="4">
        <f t="shared" si="0"/>
        <v>75168.73280918393</v>
      </c>
      <c r="E37" s="4">
        <f t="shared" si="1"/>
        <v>78297.332809183936</v>
      </c>
      <c r="F37" s="71" t="str">
        <f t="shared" si="4"/>
        <v/>
      </c>
      <c r="G37" s="71" t="str">
        <f t="shared" si="5"/>
        <v/>
      </c>
      <c r="H37" s="26" t="str">
        <f t="shared" si="2"/>
        <v/>
      </c>
      <c r="I37" s="3" t="str">
        <f t="shared" si="3"/>
        <v/>
      </c>
      <c r="J37" s="4" t="str">
        <f t="shared" si="6"/>
        <v/>
      </c>
      <c r="K37" s="4" t="str">
        <f t="shared" si="7"/>
        <v/>
      </c>
      <c r="L37" s="4" t="str">
        <f t="shared" si="8"/>
        <v/>
      </c>
      <c r="M37" s="4" t="str">
        <f t="shared" si="9"/>
        <v/>
      </c>
      <c r="N37" s="72" t="str">
        <f t="shared" si="10"/>
        <v/>
      </c>
      <c r="O37" s="72" t="str">
        <f t="shared" si="11"/>
        <v/>
      </c>
      <c r="P37" s="27" t="str">
        <f t="shared" si="12"/>
        <v/>
      </c>
      <c r="Q37" s="3" t="str">
        <f t="shared" si="13"/>
        <v/>
      </c>
      <c r="R37" s="4" t="str">
        <f t="shared" si="14"/>
        <v/>
      </c>
      <c r="S37" s="4" t="str">
        <f t="shared" si="15"/>
        <v/>
      </c>
      <c r="T37" s="4" t="str">
        <f t="shared" si="16"/>
        <v/>
      </c>
      <c r="U37" s="4" t="str">
        <f t="shared" si="17"/>
        <v/>
      </c>
    </row>
    <row r="38" spans="1:21" x14ac:dyDescent="0.3">
      <c r="A38" s="12">
        <f>'MDEP Bathymetry'!D19</f>
        <v>14</v>
      </c>
      <c r="B38" s="12">
        <f t="shared" si="18"/>
        <v>58.268240000000006</v>
      </c>
      <c r="C38" s="17">
        <f>'MDEP Bathymetry'!E19</f>
        <v>31286</v>
      </c>
      <c r="D38" s="4">
        <f>(1/3)*(C38+C39+((C38*C39)^0.5))*(A39-A38)</f>
        <v>3128.6000000000072</v>
      </c>
      <c r="E38" s="4">
        <f>E39+D38</f>
        <v>3128.6000000000072</v>
      </c>
      <c r="F38" s="71" t="str">
        <f t="shared" si="4"/>
        <v/>
      </c>
      <c r="G38" s="71" t="str">
        <f t="shared" si="5"/>
        <v/>
      </c>
      <c r="H38" s="26" t="str">
        <f t="shared" si="2"/>
        <v/>
      </c>
      <c r="I38" s="3" t="str">
        <f t="shared" si="3"/>
        <v/>
      </c>
      <c r="J38" s="4" t="str">
        <f t="shared" si="6"/>
        <v/>
      </c>
      <c r="K38" s="4" t="str">
        <f t="shared" si="7"/>
        <v/>
      </c>
      <c r="L38" s="4" t="str">
        <f t="shared" si="8"/>
        <v/>
      </c>
      <c r="M38" s="4" t="str">
        <f t="shared" si="9"/>
        <v/>
      </c>
      <c r="N38" s="72" t="str">
        <f t="shared" si="10"/>
        <v/>
      </c>
      <c r="O38" s="72" t="str">
        <f t="shared" si="11"/>
        <v/>
      </c>
      <c r="P38" s="27" t="str">
        <f t="shared" si="12"/>
        <v/>
      </c>
      <c r="Q38" s="3" t="str">
        <f t="shared" si="13"/>
        <v/>
      </c>
      <c r="R38" s="4" t="str">
        <f t="shared" si="14"/>
        <v/>
      </c>
      <c r="S38" s="4" t="str">
        <f t="shared" si="15"/>
        <v/>
      </c>
      <c r="T38" s="4" t="str">
        <f t="shared" si="16"/>
        <v/>
      </c>
      <c r="U38" s="4" t="str">
        <f t="shared" si="17"/>
        <v/>
      </c>
    </row>
    <row r="39" spans="1:21" x14ac:dyDescent="0.3">
      <c r="A39" s="12">
        <f>'MDEP Bathymetry'!D20</f>
        <v>14.3</v>
      </c>
      <c r="B39" s="12">
        <f t="shared" si="18"/>
        <v>57.283988000000001</v>
      </c>
      <c r="C39" s="17">
        <f>'MDEP Bathymetry'!E20</f>
        <v>0</v>
      </c>
      <c r="D39" s="4">
        <v>0</v>
      </c>
      <c r="E39" s="1">
        <v>0</v>
      </c>
      <c r="F39" s="71" t="str">
        <f t="shared" si="4"/>
        <v/>
      </c>
      <c r="G39" s="71" t="str">
        <f t="shared" si="5"/>
        <v/>
      </c>
      <c r="H39" s="26" t="str">
        <f t="shared" si="2"/>
        <v/>
      </c>
      <c r="I39" s="3" t="str">
        <f t="shared" si="3"/>
        <v/>
      </c>
      <c r="J39" s="4" t="str">
        <f t="shared" si="6"/>
        <v/>
      </c>
      <c r="K39" s="4" t="str">
        <f t="shared" si="7"/>
        <v/>
      </c>
      <c r="L39" s="4" t="str">
        <f t="shared" si="8"/>
        <v/>
      </c>
      <c r="M39" s="4" t="str">
        <f t="shared" si="9"/>
        <v/>
      </c>
      <c r="N39" s="72" t="str">
        <f t="shared" si="10"/>
        <v/>
      </c>
      <c r="O39" s="72" t="str">
        <f t="shared" si="11"/>
        <v/>
      </c>
      <c r="P39" s="27" t="str">
        <f t="shared" si="12"/>
        <v/>
      </c>
      <c r="Q39" s="3" t="str">
        <f t="shared" si="13"/>
        <v/>
      </c>
      <c r="R39" s="4" t="str">
        <f t="shared" si="14"/>
        <v/>
      </c>
      <c r="S39" s="4" t="str">
        <f t="shared" si="15"/>
        <v/>
      </c>
      <c r="T39" s="4" t="str">
        <f t="shared" si="16"/>
        <v/>
      </c>
      <c r="U39" s="4" t="str">
        <f t="shared" si="17"/>
        <v/>
      </c>
    </row>
    <row r="41" spans="1:21" x14ac:dyDescent="0.3">
      <c r="A41" s="64" t="s">
        <v>70</v>
      </c>
      <c r="B41" s="64"/>
      <c r="C41" s="64"/>
      <c r="D41" s="64"/>
      <c r="E41" s="64"/>
    </row>
    <row r="42" spans="1:21" x14ac:dyDescent="0.3">
      <c r="A42" s="64"/>
      <c r="B42" s="64"/>
      <c r="C42" s="64"/>
      <c r="D42" s="64"/>
      <c r="E42" s="64"/>
    </row>
    <row r="43" spans="1:21" x14ac:dyDescent="0.3">
      <c r="A43" s="64"/>
      <c r="B43" s="64"/>
      <c r="C43" s="64"/>
      <c r="D43" s="64"/>
      <c r="E43" s="64"/>
    </row>
  </sheetData>
  <mergeCells count="17">
    <mergeCell ref="A18:B18"/>
    <mergeCell ref="A41:E43"/>
    <mergeCell ref="P21:U21"/>
    <mergeCell ref="N21:O21"/>
    <mergeCell ref="A1:E1"/>
    <mergeCell ref="A4:B4"/>
    <mergeCell ref="A5:B5"/>
    <mergeCell ref="A6:B6"/>
    <mergeCell ref="H21:M21"/>
    <mergeCell ref="A21:E21"/>
    <mergeCell ref="A13:B13"/>
    <mergeCell ref="A15:B15"/>
    <mergeCell ref="A17:B17"/>
    <mergeCell ref="A19:B19"/>
    <mergeCell ref="F21:G21"/>
    <mergeCell ref="A2:E2"/>
    <mergeCell ref="A14:B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C2089-0B41-47A3-B786-789D0629EE1A}">
  <dimension ref="A1:U43"/>
  <sheetViews>
    <sheetView topLeftCell="J1" workbookViewId="0">
      <selection activeCell="N23" activeCellId="1" sqref="F22:G39 N23:O39"/>
    </sheetView>
  </sheetViews>
  <sheetFormatPr defaultRowHeight="14.4" x14ac:dyDescent="0.3"/>
  <cols>
    <col min="1" max="5" width="20.6640625" customWidth="1"/>
    <col min="6" max="7" width="6.6640625" style="13" customWidth="1"/>
    <col min="8" max="8" width="18.6640625" style="13" customWidth="1"/>
    <col min="9" max="11" width="18.6640625" style="1" customWidth="1"/>
    <col min="12" max="13" width="18.6640625" customWidth="1"/>
    <col min="14" max="15" width="6.6640625" style="19" customWidth="1"/>
    <col min="16" max="18" width="18.6640625" customWidth="1"/>
    <col min="19" max="20" width="18.6640625" style="1" customWidth="1"/>
    <col min="21" max="21" width="18.6640625" customWidth="1"/>
  </cols>
  <sheetData>
    <row r="1" spans="1:21" ht="21" x14ac:dyDescent="0.4">
      <c r="A1" s="48" t="s">
        <v>43</v>
      </c>
      <c r="B1" s="48"/>
      <c r="C1" s="48"/>
      <c r="D1" s="48"/>
      <c r="E1" s="48"/>
    </row>
    <row r="2" spans="1:21" ht="15.6" x14ac:dyDescent="0.3">
      <c r="A2" s="65" t="s">
        <v>54</v>
      </c>
      <c r="B2" s="65"/>
      <c r="C2" s="65"/>
      <c r="D2" s="65"/>
      <c r="E2" s="65"/>
      <c r="S2"/>
      <c r="T2"/>
    </row>
    <row r="3" spans="1:21" x14ac:dyDescent="0.3">
      <c r="A3" s="1"/>
      <c r="B3" s="1"/>
      <c r="C3" s="1"/>
      <c r="D3" s="1"/>
      <c r="E3" s="1"/>
      <c r="S3"/>
      <c r="T3"/>
    </row>
    <row r="4" spans="1:21" ht="15.6" x14ac:dyDescent="0.3">
      <c r="A4" s="53" t="s">
        <v>50</v>
      </c>
      <c r="B4" s="53"/>
      <c r="C4" s="62">
        <v>103</v>
      </c>
      <c r="D4" t="s">
        <v>8</v>
      </c>
      <c r="S4"/>
      <c r="T4"/>
    </row>
    <row r="5" spans="1:21" ht="15.6" x14ac:dyDescent="0.3">
      <c r="A5" s="53" t="s">
        <v>7</v>
      </c>
      <c r="B5" s="53"/>
      <c r="C5" s="62">
        <v>1.77</v>
      </c>
      <c r="D5" t="s">
        <v>13</v>
      </c>
      <c r="S5"/>
      <c r="T5"/>
    </row>
    <row r="6" spans="1:21" ht="15.6" x14ac:dyDescent="0.3">
      <c r="A6" s="53" t="s">
        <v>32</v>
      </c>
      <c r="B6" s="53"/>
      <c r="C6" s="62">
        <v>2.9</v>
      </c>
      <c r="D6" t="s">
        <v>8</v>
      </c>
      <c r="S6"/>
      <c r="T6"/>
    </row>
    <row r="7" spans="1:21" x14ac:dyDescent="0.3">
      <c r="A7" s="9"/>
      <c r="B7" s="9"/>
      <c r="C7" s="11"/>
      <c r="S7"/>
      <c r="T7"/>
    </row>
    <row r="8" spans="1:21" x14ac:dyDescent="0.3">
      <c r="A8" s="9"/>
      <c r="B8" s="9" t="s">
        <v>18</v>
      </c>
      <c r="C8" s="1">
        <f>C5*2</f>
        <v>3.54</v>
      </c>
      <c r="D8" s="16" t="s">
        <v>13</v>
      </c>
      <c r="P8" s="16"/>
      <c r="Q8" s="16"/>
      <c r="U8" s="8"/>
    </row>
    <row r="9" spans="1:21" x14ac:dyDescent="0.3">
      <c r="A9" s="9"/>
      <c r="B9" s="9" t="s">
        <v>10</v>
      </c>
      <c r="C9" s="12">
        <f>C4</f>
        <v>103</v>
      </c>
      <c r="D9" t="s">
        <v>8</v>
      </c>
      <c r="U9" s="8"/>
    </row>
    <row r="10" spans="1:21" x14ac:dyDescent="0.3">
      <c r="A10" s="1"/>
      <c r="B10" s="9" t="s">
        <v>11</v>
      </c>
      <c r="C10" s="12">
        <f>C4-(C8*3.28084)</f>
        <v>91.385826399999999</v>
      </c>
      <c r="D10" t="s">
        <v>8</v>
      </c>
      <c r="F10"/>
      <c r="G10"/>
      <c r="H10"/>
    </row>
    <row r="11" spans="1:21" x14ac:dyDescent="0.3">
      <c r="A11" s="1"/>
      <c r="B11" s="9" t="s">
        <v>33</v>
      </c>
      <c r="C11" s="12">
        <f>C9-C6</f>
        <v>100.1</v>
      </c>
      <c r="D11" t="s">
        <v>8</v>
      </c>
      <c r="F11"/>
      <c r="G11"/>
      <c r="H11"/>
    </row>
    <row r="12" spans="1:21" x14ac:dyDescent="0.3">
      <c r="A12" s="1"/>
      <c r="B12" s="9"/>
      <c r="C12" s="12"/>
      <c r="F12"/>
      <c r="G12"/>
      <c r="H12"/>
    </row>
    <row r="13" spans="1:21" ht="16.2" x14ac:dyDescent="0.3">
      <c r="A13" s="53" t="s">
        <v>28</v>
      </c>
      <c r="B13" s="53"/>
      <c r="C13" s="17">
        <f>MAX(S24:S39)</f>
        <v>12381454.669668831</v>
      </c>
      <c r="D13" t="s">
        <v>19</v>
      </c>
      <c r="F13"/>
      <c r="G13"/>
      <c r="H13"/>
    </row>
    <row r="14" spans="1:21" ht="16.2" x14ac:dyDescent="0.3">
      <c r="A14" s="53" t="s">
        <v>44</v>
      </c>
      <c r="B14" s="53"/>
      <c r="C14" s="17">
        <f>MAX(K24:K39)</f>
        <v>16548526.762857098</v>
      </c>
      <c r="D14" t="s">
        <v>19</v>
      </c>
      <c r="F14"/>
      <c r="G14"/>
      <c r="H14"/>
    </row>
    <row r="15" spans="1:21" ht="15.6" x14ac:dyDescent="0.3">
      <c r="A15" s="54" t="s">
        <v>29</v>
      </c>
      <c r="B15" s="54"/>
      <c r="C15" s="44">
        <f>(C13/C14)*100</f>
        <v>74.819075118268572</v>
      </c>
      <c r="D15" s="18"/>
      <c r="F15"/>
      <c r="G15"/>
      <c r="H15"/>
    </row>
    <row r="16" spans="1:21" x14ac:dyDescent="0.3">
      <c r="A16" s="1"/>
      <c r="B16" s="9"/>
      <c r="C16" s="12"/>
      <c r="F16"/>
      <c r="G16"/>
      <c r="H16"/>
    </row>
    <row r="17" spans="1:21" ht="16.2" x14ac:dyDescent="0.3">
      <c r="A17" s="53" t="s">
        <v>30</v>
      </c>
      <c r="B17" s="53"/>
      <c r="C17" s="17">
        <f>MAX(U24:U39)</f>
        <v>70646278.937846333</v>
      </c>
      <c r="D17" t="s">
        <v>20</v>
      </c>
      <c r="F17"/>
      <c r="G17"/>
      <c r="H17"/>
    </row>
    <row r="18" spans="1:21" ht="16.2" x14ac:dyDescent="0.3">
      <c r="A18" s="53" t="s">
        <v>45</v>
      </c>
      <c r="B18" s="53"/>
      <c r="C18" s="17">
        <f>MAX(M24:M39)</f>
        <v>100442940.64058587</v>
      </c>
      <c r="D18" t="s">
        <v>20</v>
      </c>
      <c r="F18"/>
      <c r="G18"/>
      <c r="H18"/>
    </row>
    <row r="19" spans="1:21" ht="15.6" x14ac:dyDescent="0.3">
      <c r="A19" s="54" t="s">
        <v>31</v>
      </c>
      <c r="B19" s="54"/>
      <c r="C19" s="44">
        <f>(C17/C18)*100</f>
        <v>70.334737799682031</v>
      </c>
      <c r="D19" s="18"/>
      <c r="F19"/>
      <c r="G19"/>
      <c r="H19"/>
    </row>
    <row r="20" spans="1:21" x14ac:dyDescent="0.3">
      <c r="F20"/>
      <c r="G20"/>
      <c r="H20"/>
      <c r="L20" s="1"/>
      <c r="M20" s="10"/>
      <c r="N20" s="20"/>
      <c r="O20" s="20"/>
      <c r="P20" s="10"/>
      <c r="Q20" s="10"/>
    </row>
    <row r="21" spans="1:21" ht="18" x14ac:dyDescent="0.35">
      <c r="A21" s="50" t="s">
        <v>6</v>
      </c>
      <c r="B21" s="50"/>
      <c r="C21" s="50"/>
      <c r="D21" s="50"/>
      <c r="E21" s="50"/>
      <c r="F21" s="60" t="s">
        <v>26</v>
      </c>
      <c r="G21" s="61"/>
      <c r="H21" s="50" t="s">
        <v>14</v>
      </c>
      <c r="I21" s="50"/>
      <c r="J21" s="50"/>
      <c r="K21" s="50"/>
      <c r="L21" s="50"/>
      <c r="M21" s="50"/>
      <c r="N21" s="60" t="s">
        <v>26</v>
      </c>
      <c r="O21" s="52"/>
      <c r="P21" s="50" t="s">
        <v>27</v>
      </c>
      <c r="Q21" s="50"/>
      <c r="R21" s="50"/>
      <c r="S21" s="50"/>
      <c r="T21" s="50"/>
      <c r="U21" s="50"/>
    </row>
    <row r="22" spans="1:21" x14ac:dyDescent="0.3">
      <c r="A22" s="5" t="s">
        <v>0</v>
      </c>
      <c r="B22" s="5" t="s">
        <v>12</v>
      </c>
      <c r="C22" s="6" t="s">
        <v>4</v>
      </c>
      <c r="D22" s="6" t="s">
        <v>2</v>
      </c>
      <c r="E22" s="7" t="s">
        <v>23</v>
      </c>
      <c r="F22" s="70" t="s">
        <v>15</v>
      </c>
      <c r="G22" s="70" t="s">
        <v>16</v>
      </c>
      <c r="H22" s="15" t="s">
        <v>0</v>
      </c>
      <c r="I22" s="7" t="s">
        <v>12</v>
      </c>
      <c r="J22" s="7" t="s">
        <v>4</v>
      </c>
      <c r="K22" s="7" t="s">
        <v>24</v>
      </c>
      <c r="L22" s="7" t="s">
        <v>2</v>
      </c>
      <c r="M22" s="7" t="s">
        <v>25</v>
      </c>
      <c r="N22" s="59" t="s">
        <v>15</v>
      </c>
      <c r="O22" s="59" t="s">
        <v>16</v>
      </c>
      <c r="P22" s="7" t="s">
        <v>0</v>
      </c>
      <c r="Q22" s="7" t="s">
        <v>12</v>
      </c>
      <c r="R22" s="15" t="s">
        <v>4</v>
      </c>
      <c r="S22" s="15" t="s">
        <v>24</v>
      </c>
      <c r="T22" s="15" t="s">
        <v>2</v>
      </c>
      <c r="U22" s="15" t="s">
        <v>25</v>
      </c>
    </row>
    <row r="23" spans="1:21" ht="16.2" x14ac:dyDescent="0.3">
      <c r="A23" s="2" t="s">
        <v>5</v>
      </c>
      <c r="B23" s="2" t="s">
        <v>9</v>
      </c>
      <c r="C23" s="3" t="s">
        <v>3</v>
      </c>
      <c r="D23" s="3" t="s">
        <v>1</v>
      </c>
      <c r="E23" s="1" t="s">
        <v>1</v>
      </c>
      <c r="F23" s="70" t="s">
        <v>17</v>
      </c>
      <c r="G23" s="70" t="s">
        <v>17</v>
      </c>
      <c r="H23" s="14" t="s">
        <v>5</v>
      </c>
      <c r="I23" s="1" t="s">
        <v>9</v>
      </c>
      <c r="J23" s="1" t="s">
        <v>3</v>
      </c>
      <c r="K23" s="1" t="s">
        <v>3</v>
      </c>
      <c r="L23" s="1" t="s">
        <v>1</v>
      </c>
      <c r="M23" s="1" t="s">
        <v>1</v>
      </c>
      <c r="N23" s="70" t="s">
        <v>17</v>
      </c>
      <c r="O23" s="70" t="s">
        <v>17</v>
      </c>
      <c r="P23" s="1" t="s">
        <v>5</v>
      </c>
      <c r="Q23" s="1" t="s">
        <v>9</v>
      </c>
      <c r="R23" s="14" t="s">
        <v>21</v>
      </c>
      <c r="S23" s="14" t="s">
        <v>21</v>
      </c>
      <c r="T23" s="14" t="s">
        <v>22</v>
      </c>
      <c r="U23" s="14" t="s">
        <v>22</v>
      </c>
    </row>
    <row r="24" spans="1:21" x14ac:dyDescent="0.3">
      <c r="A24" s="12">
        <f>'MDEP Bathymetry'!D5</f>
        <v>0</v>
      </c>
      <c r="B24" s="63">
        <v>104.2</v>
      </c>
      <c r="C24" s="67">
        <f>'MDEP Bathymetry'!E5*(9383/8454)</f>
        <v>37970785.66193518</v>
      </c>
      <c r="D24" s="4">
        <f t="shared" ref="D24:D37" si="0">(1/3)*(C24+C25+((C24*C25)^0.5))*(A25-A24)</f>
        <v>35261356.211522326</v>
      </c>
      <c r="E24" s="4">
        <f t="shared" ref="E24:E37" si="1">E25+D24</f>
        <v>149240827.14891851</v>
      </c>
      <c r="F24" s="71">
        <f>IF($C$9=B24,B24, IF($C$9&lt;B24,IF($C$9&gt;B25,$C$9,""),""))</f>
        <v>103</v>
      </c>
      <c r="G24" s="71" t="str">
        <f>IF(B24&gt;$C$10,"",IF(B24=$C$10,$C$10,IF(B24&lt;$C$10,IF(B23&gt;$C$10,$C$10,""),"")))</f>
        <v/>
      </c>
      <c r="H24" s="26">
        <f t="shared" ref="H24:H39" si="2">IF(I24="","",($C$9-I24)/3.28084)</f>
        <v>0</v>
      </c>
      <c r="I24" s="3">
        <f t="shared" ref="I24:I39" si="3">IF(F24=$C$9,F24, IF(G24=$C$10,G24,IF(B24&gt;$C$10,IF(B24&lt;$C$9,B24,""),"")))</f>
        <v>103</v>
      </c>
      <c r="J24" s="4">
        <f>IF(I24=B24,C24,IF(I24=$C$9,((((I24-I25)/(B24-I25))*(C24-J25))+J25),IF(I24=$C$10,((((I24-B24)/(B23-B24))*(C23-C24))+C24),"")))</f>
        <v>36013547.807557158</v>
      </c>
      <c r="K24" s="4">
        <f>IF(J24="","",J24-(MIN($J$24:$J$39)))</f>
        <v>16548526.762857098</v>
      </c>
      <c r="L24" s="4">
        <f>IF(I24="","",IF(I24=$C$10,0,((1/3)*(J24+J25+((J24*J25)^0.5))*(H25-H24))))</f>
        <v>21756078.651084125</v>
      </c>
      <c r="M24" s="4">
        <f>IF(L24="","",IF(L24=0,0,(M25+L24)))</f>
        <v>100442940.64058587</v>
      </c>
      <c r="N24" s="72" t="str">
        <f>IF(I24="","",IF($C$11&lt;I24,IF($C$11&gt;I25,$C$11,""),""))</f>
        <v/>
      </c>
      <c r="O24" s="72" t="str">
        <f>G24</f>
        <v/>
      </c>
      <c r="P24" s="27" t="str">
        <f>IF(Q24="","",(($C$11-Q24)/3.28084))</f>
        <v/>
      </c>
      <c r="Q24" s="3" t="str">
        <f>IF(N24=$C$11, $C$11,IF(I24&gt;$C$11,"",I24))</f>
        <v/>
      </c>
      <c r="R24" s="4" t="str">
        <f>IF(Q24="","",IF(Q24=$C$11,((((Q24-Q25)/(I24-Q25))*(J24-J25))+J25),J24))</f>
        <v/>
      </c>
      <c r="S24" s="4" t="str">
        <f>IF(R24="","",R24-MIN($R$24:$R$39))</f>
        <v/>
      </c>
      <c r="T24" s="4" t="str">
        <f>IF(Q24="","",IF(I24=$C$10,0,((1/3)*(R24+R25+((R24*R25)^0.5))*(P25-P24))))</f>
        <v/>
      </c>
      <c r="U24" s="4" t="str">
        <f>IF(T24="","",IF(T24=0,0,(U25+T24)))</f>
        <v/>
      </c>
    </row>
    <row r="25" spans="1:21" x14ac:dyDescent="0.3">
      <c r="A25" s="12">
        <f>'MDEP Bathymetry'!D6</f>
        <v>1</v>
      </c>
      <c r="B25" s="12">
        <f>$B$24-(A25*3.28084)</f>
        <v>100.91916000000001</v>
      </c>
      <c r="C25" s="67">
        <f>'MDEP Bathymetry'!E6*(9383/8454)</f>
        <v>32619632.126803879</v>
      </c>
      <c r="D25" s="4">
        <f t="shared" si="0"/>
        <v>31058470.571263038</v>
      </c>
      <c r="E25" s="4">
        <f t="shared" si="1"/>
        <v>113979470.9373962</v>
      </c>
      <c r="F25" s="71" t="str">
        <f t="shared" ref="F25:F39" si="4">IF($C$9=B25,B25, IF($C$9&lt;B25,IF($C$9&gt;B26,$C$9,""),""))</f>
        <v/>
      </c>
      <c r="G25" s="71" t="str">
        <f t="shared" ref="G25:G39" si="5">IF(B25&gt;$C$10,"",IF(B25=$C$10,$C$10,IF(B25&lt;$C$10,IF(B24&gt;$C$10,$C$10,""),"")))</f>
        <v/>
      </c>
      <c r="H25" s="26">
        <f t="shared" si="2"/>
        <v>0.6342400117043181</v>
      </c>
      <c r="I25" s="3">
        <f t="shared" si="3"/>
        <v>100.91916000000001</v>
      </c>
      <c r="J25" s="4">
        <f t="shared" ref="J25:J39" si="6">IF(I25=B25,C25,IF(I25=$C$9,((((I25-I26)/(B25-I26))*(C25-J26))+J26),IF(I25=$C$10,((((I25-B25)/(B24-B25))*(C24-C25))+C25),"")))</f>
        <v>32619632.126803879</v>
      </c>
      <c r="K25" s="4">
        <f t="shared" ref="K25:K39" si="7">IF(J25="","",J25-(MIN($J$24:$J$39)))</f>
        <v>13154611.082103819</v>
      </c>
      <c r="L25" s="4">
        <f t="shared" ref="L25:L39" si="8">IF(I25="","",IF(I25=$C$10,0,((1/3)*(J25+J26+((J25*J26)^0.5))*(H26-H25))))</f>
        <v>31058470.571263015</v>
      </c>
      <c r="M25" s="4">
        <f t="shared" ref="M25:M39" si="9">IF(L25="","",IF(L25=0,0,(M26+L25)))</f>
        <v>78686861.989501745</v>
      </c>
      <c r="N25" s="72">
        <f t="shared" ref="N25:N39" si="10">IF(I25="","",IF($C$11&lt;I25,IF($C$11&gt;I26,$C$11,""),""))</f>
        <v>100.1</v>
      </c>
      <c r="O25" s="72" t="str">
        <f t="shared" ref="O25:O39" si="11">G25</f>
        <v/>
      </c>
      <c r="P25" s="27">
        <f t="shared" ref="P25:P39" si="12">IF(Q25="","",(($C$11-Q25)/3.28084))</f>
        <v>0</v>
      </c>
      <c r="Q25" s="3">
        <f t="shared" ref="Q25:Q39" si="13">IF(N25=$C$11, $C$11,IF(I25&gt;$C$11,"",I25))</f>
        <v>100.1</v>
      </c>
      <c r="R25" s="4">
        <f t="shared" ref="R25:R39" si="14">IF(Q25="","",IF(Q25=$C$11,((((Q25-Q26)/(I25-Q26))*(J25-J26))+J26),J25))</f>
        <v>31846475.714368891</v>
      </c>
      <c r="S25" s="4">
        <f t="shared" ref="S25:S39" si="15">IF(R25="","",R25-MIN($R$24:$R$39))</f>
        <v>12381454.669668831</v>
      </c>
      <c r="T25" s="4">
        <f t="shared" ref="T25:T39" si="16">IF(Q25="","",IF(I25=$C$10,0,((1/3)*(R25+R26+((R25*R26)^0.5))*(P26-P25))))</f>
        <v>23017887.519607596</v>
      </c>
      <c r="U25" s="4">
        <f t="shared" ref="U25:U39" si="17">IF(T25="","",IF(T25=0,0,(U26+T25)))</f>
        <v>70646278.937846333</v>
      </c>
    </row>
    <row r="26" spans="1:21" x14ac:dyDescent="0.3">
      <c r="A26" s="12">
        <f>'MDEP Bathymetry'!D7</f>
        <v>2</v>
      </c>
      <c r="B26" s="12">
        <f t="shared" ref="B26:B39" si="18">$B$24-(A26*3.28084)</f>
        <v>97.638320000000007</v>
      </c>
      <c r="C26" s="67">
        <f>'MDEP Bathymetry'!E7*(9383/8454)</f>
        <v>29523042.346818075</v>
      </c>
      <c r="D26" s="4">
        <f t="shared" si="0"/>
        <v>27399805.524448831</v>
      </c>
      <c r="E26" s="4">
        <f t="shared" si="1"/>
        <v>82921000.366133153</v>
      </c>
      <c r="F26" s="71" t="str">
        <f t="shared" si="4"/>
        <v/>
      </c>
      <c r="G26" s="71" t="str">
        <f t="shared" si="5"/>
        <v/>
      </c>
      <c r="H26" s="26">
        <f t="shared" si="2"/>
        <v>1.6342400117043174</v>
      </c>
      <c r="I26" s="3">
        <f t="shared" si="3"/>
        <v>97.638320000000007</v>
      </c>
      <c r="J26" s="4">
        <f t="shared" si="6"/>
        <v>29523042.346818075</v>
      </c>
      <c r="K26" s="4">
        <f t="shared" si="7"/>
        <v>10058021.302118015</v>
      </c>
      <c r="L26" s="4">
        <f t="shared" si="8"/>
        <v>27399805.524448812</v>
      </c>
      <c r="M26" s="4">
        <f t="shared" si="9"/>
        <v>47628391.418238729</v>
      </c>
      <c r="N26" s="72" t="str">
        <f t="shared" si="10"/>
        <v/>
      </c>
      <c r="O26" s="72" t="str">
        <f t="shared" si="11"/>
        <v/>
      </c>
      <c r="P26" s="27">
        <f t="shared" si="12"/>
        <v>0.75032003998975472</v>
      </c>
      <c r="Q26" s="3">
        <f t="shared" si="13"/>
        <v>97.638320000000007</v>
      </c>
      <c r="R26" s="4">
        <f t="shared" si="14"/>
        <v>29523042.346818075</v>
      </c>
      <c r="S26" s="4">
        <f t="shared" si="15"/>
        <v>10058021.302118015</v>
      </c>
      <c r="T26" s="4">
        <f t="shared" si="16"/>
        <v>27399805.524448812</v>
      </c>
      <c r="U26" s="4">
        <f t="shared" si="17"/>
        <v>47628391.418238729</v>
      </c>
    </row>
    <row r="27" spans="1:21" x14ac:dyDescent="0.3">
      <c r="A27" s="12">
        <f>'MDEP Bathymetry'!D8</f>
        <v>3</v>
      </c>
      <c r="B27" s="12">
        <f t="shared" si="18"/>
        <v>94.35748000000001</v>
      </c>
      <c r="C27" s="67">
        <f>'MDEP Bathymetry'!E8*(9383/8454)</f>
        <v>25330065.554175537</v>
      </c>
      <c r="D27" s="4">
        <f t="shared" si="0"/>
        <v>22012920.02635837</v>
      </c>
      <c r="E27" s="4">
        <f>E28+D27</f>
        <v>55521194.841684327</v>
      </c>
      <c r="F27" s="71" t="str">
        <f t="shared" si="4"/>
        <v/>
      </c>
      <c r="G27" s="71" t="str">
        <f t="shared" si="5"/>
        <v/>
      </c>
      <c r="H27" s="26">
        <f t="shared" si="2"/>
        <v>2.6342400117043168</v>
      </c>
      <c r="I27" s="3">
        <f t="shared" si="3"/>
        <v>94.35748000000001</v>
      </c>
      <c r="J27" s="4">
        <f t="shared" si="6"/>
        <v>25330065.554175537</v>
      </c>
      <c r="K27" s="4">
        <f t="shared" si="7"/>
        <v>5865044.509475477</v>
      </c>
      <c r="L27" s="4">
        <f t="shared" si="8"/>
        <v>20228585.893789921</v>
      </c>
      <c r="M27" s="4">
        <f t="shared" si="9"/>
        <v>20228585.893789921</v>
      </c>
      <c r="N27" s="72" t="str">
        <f t="shared" si="10"/>
        <v/>
      </c>
      <c r="O27" s="72" t="str">
        <f t="shared" si="11"/>
        <v/>
      </c>
      <c r="P27" s="27">
        <f t="shared" si="12"/>
        <v>1.7503200399897541</v>
      </c>
      <c r="Q27" s="3">
        <f t="shared" si="13"/>
        <v>94.35748000000001</v>
      </c>
      <c r="R27" s="4">
        <f t="shared" si="14"/>
        <v>25330065.554175537</v>
      </c>
      <c r="S27" s="4">
        <f t="shared" si="15"/>
        <v>5865044.509475477</v>
      </c>
      <c r="T27" s="4">
        <f t="shared" si="16"/>
        <v>20228585.893789921</v>
      </c>
      <c r="U27" s="4">
        <f t="shared" si="17"/>
        <v>20228585.893789921</v>
      </c>
    </row>
    <row r="28" spans="1:21" x14ac:dyDescent="0.3">
      <c r="A28" s="12">
        <f>'MDEP Bathymetry'!D9</f>
        <v>4</v>
      </c>
      <c r="B28" s="12">
        <f t="shared" si="18"/>
        <v>91.076639999999998</v>
      </c>
      <c r="C28" s="67">
        <f>'MDEP Bathymetry'!E9*(9383/8454)</f>
        <v>18854791.104802459</v>
      </c>
      <c r="D28" s="4">
        <f t="shared" si="0"/>
        <v>14745416.485070549</v>
      </c>
      <c r="E28" s="4">
        <f t="shared" si="1"/>
        <v>33508274.815325953</v>
      </c>
      <c r="F28" s="71" t="str">
        <f t="shared" si="4"/>
        <v/>
      </c>
      <c r="G28" s="71">
        <f t="shared" si="5"/>
        <v>91.385826399999999</v>
      </c>
      <c r="H28" s="26">
        <f t="shared" si="2"/>
        <v>3.5400000000000005</v>
      </c>
      <c r="I28" s="3">
        <f t="shared" si="3"/>
        <v>91.385826399999999</v>
      </c>
      <c r="J28" s="4">
        <f t="shared" si="6"/>
        <v>19465021.04470006</v>
      </c>
      <c r="K28" s="4">
        <f t="shared" si="7"/>
        <v>0</v>
      </c>
      <c r="L28" s="4">
        <f t="shared" si="8"/>
        <v>0</v>
      </c>
      <c r="M28" s="4">
        <f t="shared" si="9"/>
        <v>0</v>
      </c>
      <c r="N28" s="72" t="str">
        <f t="shared" si="10"/>
        <v/>
      </c>
      <c r="O28" s="72">
        <f t="shared" si="11"/>
        <v>91.385826399999999</v>
      </c>
      <c r="P28" s="27">
        <f t="shared" si="12"/>
        <v>2.6560800282854378</v>
      </c>
      <c r="Q28" s="3">
        <f t="shared" si="13"/>
        <v>91.385826399999999</v>
      </c>
      <c r="R28" s="4">
        <f t="shared" si="14"/>
        <v>19465021.04470006</v>
      </c>
      <c r="S28" s="4">
        <f t="shared" si="15"/>
        <v>0</v>
      </c>
      <c r="T28" s="4">
        <f t="shared" si="16"/>
        <v>0</v>
      </c>
      <c r="U28" s="4">
        <f t="shared" si="17"/>
        <v>0</v>
      </c>
    </row>
    <row r="29" spans="1:21" x14ac:dyDescent="0.3">
      <c r="A29" s="12">
        <f>'MDEP Bathymetry'!D10</f>
        <v>5</v>
      </c>
      <c r="B29" s="12">
        <f t="shared" si="18"/>
        <v>87.7958</v>
      </c>
      <c r="C29" s="67">
        <f>'MDEP Bathymetry'!E10*(9383/8454)</f>
        <v>10987899.219304472</v>
      </c>
      <c r="D29" s="4">
        <f t="shared" si="0"/>
        <v>8087233.628112522</v>
      </c>
      <c r="E29" s="4">
        <f t="shared" si="1"/>
        <v>18762858.330255404</v>
      </c>
      <c r="F29" s="71" t="str">
        <f t="shared" si="4"/>
        <v/>
      </c>
      <c r="G29" s="71" t="str">
        <f t="shared" si="5"/>
        <v/>
      </c>
      <c r="H29" s="26" t="str">
        <f t="shared" si="2"/>
        <v/>
      </c>
      <c r="I29" s="3" t="str">
        <f t="shared" si="3"/>
        <v/>
      </c>
      <c r="J29" s="4" t="str">
        <f t="shared" si="6"/>
        <v/>
      </c>
      <c r="K29" s="4" t="str">
        <f t="shared" si="7"/>
        <v/>
      </c>
      <c r="L29" s="4" t="str">
        <f t="shared" si="8"/>
        <v/>
      </c>
      <c r="M29" s="4" t="str">
        <f t="shared" si="9"/>
        <v/>
      </c>
      <c r="N29" s="72" t="str">
        <f t="shared" si="10"/>
        <v/>
      </c>
      <c r="O29" s="72" t="str">
        <f t="shared" si="11"/>
        <v/>
      </c>
      <c r="P29" s="27" t="str">
        <f t="shared" si="12"/>
        <v/>
      </c>
      <c r="Q29" s="3" t="str">
        <f t="shared" si="13"/>
        <v/>
      </c>
      <c r="R29" s="4" t="str">
        <f t="shared" si="14"/>
        <v/>
      </c>
      <c r="S29" s="4" t="str">
        <f t="shared" si="15"/>
        <v/>
      </c>
      <c r="T29" s="4" t="str">
        <f t="shared" si="16"/>
        <v/>
      </c>
      <c r="U29" s="4" t="str">
        <f t="shared" si="17"/>
        <v/>
      </c>
    </row>
    <row r="30" spans="1:21" x14ac:dyDescent="0.3">
      <c r="A30" s="12">
        <f>'MDEP Bathymetry'!D11</f>
        <v>6</v>
      </c>
      <c r="B30" s="12">
        <f t="shared" si="18"/>
        <v>84.514960000000002</v>
      </c>
      <c r="C30" s="67">
        <f>'MDEP Bathymetry'!E11*(9383/8454)</f>
        <v>5499945.2290040217</v>
      </c>
      <c r="D30" s="4">
        <f t="shared" si="0"/>
        <v>4721914.1642410243</v>
      </c>
      <c r="E30" s="4">
        <f t="shared" si="1"/>
        <v>10675624.702142881</v>
      </c>
      <c r="F30" s="71" t="str">
        <f t="shared" si="4"/>
        <v/>
      </c>
      <c r="G30" s="71" t="str">
        <f t="shared" si="5"/>
        <v/>
      </c>
      <c r="H30" s="26" t="str">
        <f t="shared" si="2"/>
        <v/>
      </c>
      <c r="I30" s="3" t="str">
        <f t="shared" si="3"/>
        <v/>
      </c>
      <c r="J30" s="4" t="str">
        <f t="shared" si="6"/>
        <v/>
      </c>
      <c r="K30" s="4" t="str">
        <f t="shared" si="7"/>
        <v/>
      </c>
      <c r="L30" s="4" t="str">
        <f t="shared" si="8"/>
        <v/>
      </c>
      <c r="M30" s="4" t="str">
        <f t="shared" si="9"/>
        <v/>
      </c>
      <c r="N30" s="72" t="str">
        <f t="shared" si="10"/>
        <v/>
      </c>
      <c r="O30" s="72" t="str">
        <f t="shared" si="11"/>
        <v/>
      </c>
      <c r="P30" s="27" t="str">
        <f t="shared" si="12"/>
        <v/>
      </c>
      <c r="Q30" s="3" t="str">
        <f t="shared" si="13"/>
        <v/>
      </c>
      <c r="R30" s="4" t="str">
        <f t="shared" si="14"/>
        <v/>
      </c>
      <c r="S30" s="4" t="str">
        <f t="shared" si="15"/>
        <v/>
      </c>
      <c r="T30" s="4" t="str">
        <f t="shared" si="16"/>
        <v/>
      </c>
      <c r="U30" s="4" t="str">
        <f t="shared" si="17"/>
        <v/>
      </c>
    </row>
    <row r="31" spans="1:21" x14ac:dyDescent="0.3">
      <c r="A31" s="12">
        <f>'MDEP Bathymetry'!D12</f>
        <v>7</v>
      </c>
      <c r="B31" s="12">
        <f t="shared" si="18"/>
        <v>81.234120000000004</v>
      </c>
      <c r="C31" s="67">
        <f>'MDEP Bathymetry'!E12*(9383/8454)</f>
        <v>3984500.8280104091</v>
      </c>
      <c r="D31" s="4">
        <f t="shared" si="0"/>
        <v>3096385.7356207492</v>
      </c>
      <c r="E31" s="4">
        <f t="shared" si="1"/>
        <v>5953710.5379018569</v>
      </c>
      <c r="F31" s="71" t="str">
        <f t="shared" si="4"/>
        <v/>
      </c>
      <c r="G31" s="71" t="str">
        <f t="shared" si="5"/>
        <v/>
      </c>
      <c r="H31" s="26" t="str">
        <f t="shared" si="2"/>
        <v/>
      </c>
      <c r="I31" s="3" t="str">
        <f t="shared" si="3"/>
        <v/>
      </c>
      <c r="J31" s="4" t="str">
        <f t="shared" si="6"/>
        <v/>
      </c>
      <c r="K31" s="4" t="str">
        <f t="shared" si="7"/>
        <v/>
      </c>
      <c r="L31" s="4" t="str">
        <f t="shared" si="8"/>
        <v/>
      </c>
      <c r="M31" s="4" t="str">
        <f t="shared" si="9"/>
        <v/>
      </c>
      <c r="N31" s="72" t="str">
        <f t="shared" si="10"/>
        <v/>
      </c>
      <c r="O31" s="72" t="str">
        <f t="shared" si="11"/>
        <v/>
      </c>
      <c r="P31" s="27" t="str">
        <f t="shared" si="12"/>
        <v/>
      </c>
      <c r="Q31" s="3" t="str">
        <f t="shared" si="13"/>
        <v/>
      </c>
      <c r="R31" s="4" t="str">
        <f t="shared" si="14"/>
        <v/>
      </c>
      <c r="S31" s="4" t="str">
        <f t="shared" si="15"/>
        <v/>
      </c>
      <c r="T31" s="4" t="str">
        <f t="shared" si="16"/>
        <v/>
      </c>
      <c r="U31" s="4" t="str">
        <f t="shared" si="17"/>
        <v/>
      </c>
    </row>
    <row r="32" spans="1:21" x14ac:dyDescent="0.3">
      <c r="A32" s="12">
        <f>'MDEP Bathymetry'!D13</f>
        <v>8</v>
      </c>
      <c r="B32" s="12">
        <f t="shared" si="18"/>
        <v>77.953280000000007</v>
      </c>
      <c r="C32" s="67">
        <f>'MDEP Bathymetry'!E13*(9383/8454)</f>
        <v>2286370.9486633549</v>
      </c>
      <c r="D32" s="4">
        <f t="shared" si="0"/>
        <v>1338469.6813474514</v>
      </c>
      <c r="E32" s="4">
        <f t="shared" si="1"/>
        <v>2857324.8022811078</v>
      </c>
      <c r="F32" s="71" t="str">
        <f t="shared" si="4"/>
        <v/>
      </c>
      <c r="G32" s="71" t="str">
        <f t="shared" si="5"/>
        <v/>
      </c>
      <c r="H32" s="26" t="str">
        <f t="shared" si="2"/>
        <v/>
      </c>
      <c r="I32" s="3" t="str">
        <f t="shared" si="3"/>
        <v/>
      </c>
      <c r="J32" s="4" t="str">
        <f t="shared" si="6"/>
        <v/>
      </c>
      <c r="K32" s="4" t="str">
        <f t="shared" si="7"/>
        <v/>
      </c>
      <c r="L32" s="4" t="str">
        <f t="shared" si="8"/>
        <v/>
      </c>
      <c r="M32" s="4" t="str">
        <f t="shared" si="9"/>
        <v/>
      </c>
      <c r="N32" s="72" t="str">
        <f t="shared" si="10"/>
        <v/>
      </c>
      <c r="O32" s="72" t="str">
        <f t="shared" si="11"/>
        <v/>
      </c>
      <c r="P32" s="27" t="str">
        <f t="shared" si="12"/>
        <v/>
      </c>
      <c r="Q32" s="3" t="str">
        <f t="shared" si="13"/>
        <v/>
      </c>
      <c r="R32" s="4" t="str">
        <f t="shared" si="14"/>
        <v/>
      </c>
      <c r="S32" s="4" t="str">
        <f t="shared" si="15"/>
        <v/>
      </c>
      <c r="T32" s="4" t="str">
        <f t="shared" si="16"/>
        <v/>
      </c>
      <c r="U32" s="4" t="str">
        <f t="shared" si="17"/>
        <v/>
      </c>
    </row>
    <row r="33" spans="1:21" x14ac:dyDescent="0.3">
      <c r="A33" s="12">
        <f>'MDEP Bathymetry'!D14</f>
        <v>9</v>
      </c>
      <c r="B33" s="12">
        <f t="shared" si="18"/>
        <v>74.672439999999995</v>
      </c>
      <c r="C33" s="67">
        <f>'MDEP Bathymetry'!E14*(9383/8454)</f>
        <v>578733.76176957658</v>
      </c>
      <c r="D33" s="4">
        <f t="shared" si="0"/>
        <v>522789.18736294849</v>
      </c>
      <c r="E33" s="4">
        <f t="shared" si="1"/>
        <v>1518855.1209336566</v>
      </c>
      <c r="F33" s="71" t="str">
        <f t="shared" si="4"/>
        <v/>
      </c>
      <c r="G33" s="71" t="str">
        <f t="shared" si="5"/>
        <v/>
      </c>
      <c r="H33" s="26" t="str">
        <f t="shared" si="2"/>
        <v/>
      </c>
      <c r="I33" s="3" t="str">
        <f t="shared" si="3"/>
        <v/>
      </c>
      <c r="J33" s="4" t="str">
        <f t="shared" si="6"/>
        <v/>
      </c>
      <c r="K33" s="4" t="str">
        <f t="shared" si="7"/>
        <v/>
      </c>
      <c r="L33" s="4" t="str">
        <f t="shared" si="8"/>
        <v/>
      </c>
      <c r="M33" s="4" t="str">
        <f t="shared" si="9"/>
        <v/>
      </c>
      <c r="N33" s="72" t="str">
        <f t="shared" si="10"/>
        <v/>
      </c>
      <c r="O33" s="72" t="str">
        <f t="shared" si="11"/>
        <v/>
      </c>
      <c r="P33" s="27" t="str">
        <f t="shared" si="12"/>
        <v/>
      </c>
      <c r="Q33" s="3" t="str">
        <f t="shared" si="13"/>
        <v/>
      </c>
      <c r="R33" s="4" t="str">
        <f t="shared" si="14"/>
        <v/>
      </c>
      <c r="S33" s="4" t="str">
        <f t="shared" si="15"/>
        <v/>
      </c>
      <c r="T33" s="4" t="str">
        <f t="shared" si="16"/>
        <v/>
      </c>
      <c r="U33" s="4" t="str">
        <f t="shared" si="17"/>
        <v/>
      </c>
    </row>
    <row r="34" spans="1:21" x14ac:dyDescent="0.3">
      <c r="A34" s="12">
        <f>'MDEP Bathymetry'!D15</f>
        <v>10</v>
      </c>
      <c r="B34" s="12">
        <f t="shared" si="18"/>
        <v>71.391600000000011</v>
      </c>
      <c r="C34" s="67">
        <f>'MDEP Bathymetry'!E15*(9383/8454)</f>
        <v>468773.74769339955</v>
      </c>
      <c r="D34" s="4">
        <f t="shared" si="0"/>
        <v>412571.38533957489</v>
      </c>
      <c r="E34" s="4">
        <f t="shared" si="1"/>
        <v>996065.93357070815</v>
      </c>
      <c r="F34" s="71" t="str">
        <f t="shared" si="4"/>
        <v/>
      </c>
      <c r="G34" s="71" t="str">
        <f t="shared" si="5"/>
        <v/>
      </c>
      <c r="H34" s="26" t="str">
        <f t="shared" si="2"/>
        <v/>
      </c>
      <c r="I34" s="3" t="str">
        <f t="shared" si="3"/>
        <v/>
      </c>
      <c r="J34" s="4" t="str">
        <f t="shared" si="6"/>
        <v/>
      </c>
      <c r="K34" s="4" t="str">
        <f t="shared" si="7"/>
        <v/>
      </c>
      <c r="L34" s="4" t="str">
        <f t="shared" si="8"/>
        <v/>
      </c>
      <c r="M34" s="4" t="str">
        <f t="shared" si="9"/>
        <v/>
      </c>
      <c r="N34" s="72" t="str">
        <f t="shared" si="10"/>
        <v/>
      </c>
      <c r="O34" s="72" t="str">
        <f t="shared" si="11"/>
        <v/>
      </c>
      <c r="P34" s="27" t="str">
        <f t="shared" si="12"/>
        <v/>
      </c>
      <c r="Q34" s="3" t="str">
        <f t="shared" si="13"/>
        <v/>
      </c>
      <c r="R34" s="4" t="str">
        <f t="shared" si="14"/>
        <v/>
      </c>
      <c r="S34" s="4" t="str">
        <f t="shared" si="15"/>
        <v/>
      </c>
      <c r="T34" s="4" t="str">
        <f t="shared" si="16"/>
        <v/>
      </c>
      <c r="U34" s="4" t="str">
        <f t="shared" si="17"/>
        <v/>
      </c>
    </row>
    <row r="35" spans="1:21" x14ac:dyDescent="0.3">
      <c r="A35" s="12">
        <f>'MDEP Bathymetry'!D16</f>
        <v>11</v>
      </c>
      <c r="B35" s="12">
        <f t="shared" si="18"/>
        <v>68.110759999999999</v>
      </c>
      <c r="C35" s="67">
        <f>'MDEP Bathymetry'!E16*(9383/8454)</f>
        <v>358814.84350603266</v>
      </c>
      <c r="D35" s="4">
        <f t="shared" si="0"/>
        <v>302163.48970920511</v>
      </c>
      <c r="E35" s="4">
        <f t="shared" si="1"/>
        <v>583494.54823113326</v>
      </c>
      <c r="F35" s="71" t="str">
        <f t="shared" si="4"/>
        <v/>
      </c>
      <c r="G35" s="71" t="str">
        <f t="shared" si="5"/>
        <v/>
      </c>
      <c r="H35" s="26" t="str">
        <f t="shared" si="2"/>
        <v/>
      </c>
      <c r="I35" s="3" t="str">
        <f t="shared" si="3"/>
        <v/>
      </c>
      <c r="J35" s="4" t="str">
        <f t="shared" si="6"/>
        <v/>
      </c>
      <c r="K35" s="4" t="str">
        <f t="shared" si="7"/>
        <v/>
      </c>
      <c r="L35" s="4" t="str">
        <f t="shared" si="8"/>
        <v/>
      </c>
      <c r="M35" s="4" t="str">
        <f t="shared" si="9"/>
        <v/>
      </c>
      <c r="N35" s="72" t="str">
        <f t="shared" si="10"/>
        <v/>
      </c>
      <c r="O35" s="72" t="str">
        <f t="shared" si="11"/>
        <v/>
      </c>
      <c r="P35" s="27" t="str">
        <f t="shared" si="12"/>
        <v/>
      </c>
      <c r="Q35" s="3" t="str">
        <f t="shared" si="13"/>
        <v/>
      </c>
      <c r="R35" s="4" t="str">
        <f t="shared" si="14"/>
        <v/>
      </c>
      <c r="S35" s="4" t="str">
        <f t="shared" si="15"/>
        <v/>
      </c>
      <c r="T35" s="4" t="str">
        <f t="shared" si="16"/>
        <v/>
      </c>
      <c r="U35" s="4" t="str">
        <f t="shared" si="17"/>
        <v/>
      </c>
    </row>
    <row r="36" spans="1:21" x14ac:dyDescent="0.3">
      <c r="A36" s="12">
        <f>'MDEP Bathymetry'!D17</f>
        <v>12</v>
      </c>
      <c r="B36" s="12">
        <f t="shared" si="18"/>
        <v>64.829920000000001</v>
      </c>
      <c r="C36" s="67">
        <f>'MDEP Bathymetry'!E17*(9383/8454)</f>
        <v>248855.93931866571</v>
      </c>
      <c r="D36" s="4">
        <f t="shared" si="0"/>
        <v>194429.72498176107</v>
      </c>
      <c r="E36" s="4">
        <f t="shared" si="1"/>
        <v>281331.05852192821</v>
      </c>
      <c r="F36" s="71" t="str">
        <f t="shared" si="4"/>
        <v/>
      </c>
      <c r="G36" s="71" t="str">
        <f t="shared" si="5"/>
        <v/>
      </c>
      <c r="H36" s="26" t="str">
        <f t="shared" si="2"/>
        <v/>
      </c>
      <c r="I36" s="3" t="str">
        <f t="shared" si="3"/>
        <v/>
      </c>
      <c r="J36" s="4" t="str">
        <f t="shared" si="6"/>
        <v/>
      </c>
      <c r="K36" s="4" t="str">
        <f t="shared" si="7"/>
        <v/>
      </c>
      <c r="L36" s="4" t="str">
        <f t="shared" si="8"/>
        <v/>
      </c>
      <c r="M36" s="4" t="str">
        <f t="shared" si="9"/>
        <v/>
      </c>
      <c r="N36" s="72" t="str">
        <f t="shared" si="10"/>
        <v/>
      </c>
      <c r="O36" s="72" t="str">
        <f t="shared" si="11"/>
        <v/>
      </c>
      <c r="P36" s="27" t="str">
        <f t="shared" si="12"/>
        <v/>
      </c>
      <c r="Q36" s="3" t="str">
        <f t="shared" si="13"/>
        <v/>
      </c>
      <c r="R36" s="4" t="str">
        <f t="shared" si="14"/>
        <v/>
      </c>
      <c r="S36" s="4" t="str">
        <f t="shared" si="15"/>
        <v/>
      </c>
      <c r="T36" s="4" t="str">
        <f t="shared" si="16"/>
        <v/>
      </c>
      <c r="U36" s="4" t="str">
        <f t="shared" si="17"/>
        <v/>
      </c>
    </row>
    <row r="37" spans="1:21" x14ac:dyDescent="0.3">
      <c r="A37" s="12">
        <f>'MDEP Bathymetry'!D18</f>
        <v>13</v>
      </c>
      <c r="B37" s="12">
        <f t="shared" si="18"/>
        <v>61.549080000000004</v>
      </c>
      <c r="C37" s="67">
        <f>'MDEP Bathymetry'!E18*(9383/8454)</f>
        <v>144682.88549798913</v>
      </c>
      <c r="D37" s="4">
        <f t="shared" si="0"/>
        <v>83428.935409104903</v>
      </c>
      <c r="E37" s="4">
        <f t="shared" si="1"/>
        <v>86901.333540167136</v>
      </c>
      <c r="F37" s="71" t="str">
        <f t="shared" si="4"/>
        <v/>
      </c>
      <c r="G37" s="71" t="str">
        <f t="shared" si="5"/>
        <v/>
      </c>
      <c r="H37" s="26" t="str">
        <f t="shared" si="2"/>
        <v/>
      </c>
      <c r="I37" s="3" t="str">
        <f t="shared" si="3"/>
        <v/>
      </c>
      <c r="J37" s="4" t="str">
        <f t="shared" si="6"/>
        <v/>
      </c>
      <c r="K37" s="4" t="str">
        <f t="shared" si="7"/>
        <v/>
      </c>
      <c r="L37" s="4" t="str">
        <f t="shared" si="8"/>
        <v/>
      </c>
      <c r="M37" s="4" t="str">
        <f t="shared" si="9"/>
        <v/>
      </c>
      <c r="N37" s="72" t="str">
        <f t="shared" si="10"/>
        <v/>
      </c>
      <c r="O37" s="72" t="str">
        <f t="shared" si="11"/>
        <v/>
      </c>
      <c r="P37" s="27" t="str">
        <f t="shared" si="12"/>
        <v/>
      </c>
      <c r="Q37" s="3" t="str">
        <f t="shared" si="13"/>
        <v/>
      </c>
      <c r="R37" s="4" t="str">
        <f t="shared" si="14"/>
        <v/>
      </c>
      <c r="S37" s="4" t="str">
        <f t="shared" si="15"/>
        <v/>
      </c>
      <c r="T37" s="4" t="str">
        <f t="shared" si="16"/>
        <v/>
      </c>
      <c r="U37" s="4" t="str">
        <f t="shared" si="17"/>
        <v/>
      </c>
    </row>
    <row r="38" spans="1:21" x14ac:dyDescent="0.3">
      <c r="A38" s="12">
        <f>'MDEP Bathymetry'!D19</f>
        <v>14</v>
      </c>
      <c r="B38" s="12">
        <f t="shared" si="18"/>
        <v>58.268240000000006</v>
      </c>
      <c r="C38" s="67">
        <f>'MDEP Bathymetry'!E19*(9383/8454)</f>
        <v>34723.981310622192</v>
      </c>
      <c r="D38" s="4">
        <f>(1/3)*(C38+C39+((C38*C39)^0.5))*(A39-A38)</f>
        <v>3472.3981310622271</v>
      </c>
      <c r="E38" s="4">
        <f>E39+D38</f>
        <v>3472.3981310622271</v>
      </c>
      <c r="F38" s="71" t="str">
        <f t="shared" si="4"/>
        <v/>
      </c>
      <c r="G38" s="71" t="str">
        <f t="shared" si="5"/>
        <v/>
      </c>
      <c r="H38" s="26" t="str">
        <f t="shared" si="2"/>
        <v/>
      </c>
      <c r="I38" s="3" t="str">
        <f t="shared" si="3"/>
        <v/>
      </c>
      <c r="J38" s="4" t="str">
        <f t="shared" si="6"/>
        <v/>
      </c>
      <c r="K38" s="4" t="str">
        <f t="shared" si="7"/>
        <v/>
      </c>
      <c r="L38" s="4" t="str">
        <f t="shared" si="8"/>
        <v/>
      </c>
      <c r="M38" s="4" t="str">
        <f t="shared" si="9"/>
        <v/>
      </c>
      <c r="N38" s="72" t="str">
        <f t="shared" si="10"/>
        <v/>
      </c>
      <c r="O38" s="72" t="str">
        <f t="shared" si="11"/>
        <v/>
      </c>
      <c r="P38" s="27" t="str">
        <f t="shared" si="12"/>
        <v/>
      </c>
      <c r="Q38" s="3" t="str">
        <f t="shared" si="13"/>
        <v/>
      </c>
      <c r="R38" s="4" t="str">
        <f t="shared" si="14"/>
        <v/>
      </c>
      <c r="S38" s="4" t="str">
        <f t="shared" si="15"/>
        <v/>
      </c>
      <c r="T38" s="4" t="str">
        <f t="shared" si="16"/>
        <v/>
      </c>
      <c r="U38" s="4" t="str">
        <f t="shared" si="17"/>
        <v/>
      </c>
    </row>
    <row r="39" spans="1:21" x14ac:dyDescent="0.3">
      <c r="A39" s="12">
        <f>'MDEP Bathymetry'!D20</f>
        <v>14.3</v>
      </c>
      <c r="B39" s="12">
        <f t="shared" si="18"/>
        <v>57.283988000000001</v>
      </c>
      <c r="C39" s="67">
        <f>'MDEP Bathymetry'!E20*(9383/8454)</f>
        <v>0</v>
      </c>
      <c r="D39" s="4">
        <v>0</v>
      </c>
      <c r="E39" s="1">
        <v>0</v>
      </c>
      <c r="F39" s="71" t="str">
        <f t="shared" si="4"/>
        <v/>
      </c>
      <c r="G39" s="71" t="str">
        <f t="shared" si="5"/>
        <v/>
      </c>
      <c r="H39" s="26" t="str">
        <f t="shared" si="2"/>
        <v/>
      </c>
      <c r="I39" s="3" t="str">
        <f t="shared" si="3"/>
        <v/>
      </c>
      <c r="J39" s="4" t="str">
        <f t="shared" si="6"/>
        <v/>
      </c>
      <c r="K39" s="4" t="str">
        <f t="shared" si="7"/>
        <v/>
      </c>
      <c r="L39" s="4" t="str">
        <f t="shared" si="8"/>
        <v/>
      </c>
      <c r="M39" s="4" t="str">
        <f t="shared" si="9"/>
        <v/>
      </c>
      <c r="N39" s="72" t="str">
        <f t="shared" si="10"/>
        <v/>
      </c>
      <c r="O39" s="72" t="str">
        <f t="shared" si="11"/>
        <v/>
      </c>
      <c r="P39" s="27" t="str">
        <f t="shared" si="12"/>
        <v/>
      </c>
      <c r="Q39" s="3" t="str">
        <f t="shared" si="13"/>
        <v/>
      </c>
      <c r="R39" s="4" t="str">
        <f t="shared" si="14"/>
        <v/>
      </c>
      <c r="S39" s="4" t="str">
        <f t="shared" si="15"/>
        <v/>
      </c>
      <c r="T39" s="4" t="str">
        <f t="shared" si="16"/>
        <v/>
      </c>
      <c r="U39" s="4" t="str">
        <f t="shared" si="17"/>
        <v/>
      </c>
    </row>
    <row r="41" spans="1:21" ht="15" customHeight="1" x14ac:dyDescent="0.3">
      <c r="A41" s="64" t="s">
        <v>73</v>
      </c>
      <c r="B41" s="64"/>
      <c r="C41" s="64"/>
      <c r="D41" s="64"/>
      <c r="E41" s="64"/>
    </row>
    <row r="42" spans="1:21" x14ac:dyDescent="0.3">
      <c r="A42" s="64"/>
      <c r="B42" s="64"/>
      <c r="C42" s="64"/>
      <c r="D42" s="64"/>
      <c r="E42" s="64"/>
    </row>
    <row r="43" spans="1:21" x14ac:dyDescent="0.3">
      <c r="A43" s="64"/>
      <c r="B43" s="64"/>
      <c r="C43" s="64"/>
      <c r="D43" s="64"/>
      <c r="E43" s="64"/>
    </row>
  </sheetData>
  <mergeCells count="17">
    <mergeCell ref="F21:G21"/>
    <mergeCell ref="H21:M21"/>
    <mergeCell ref="N21:O21"/>
    <mergeCell ref="P21:U21"/>
    <mergeCell ref="A21:E21"/>
    <mergeCell ref="A13:B13"/>
    <mergeCell ref="A41:E43"/>
    <mergeCell ref="A1:E1"/>
    <mergeCell ref="A2:E2"/>
    <mergeCell ref="A4:B4"/>
    <mergeCell ref="A5:B5"/>
    <mergeCell ref="A6:B6"/>
    <mergeCell ref="A14:B14"/>
    <mergeCell ref="A15:B15"/>
    <mergeCell ref="A17:B17"/>
    <mergeCell ref="A18:B18"/>
    <mergeCell ref="A19:B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35080-60F9-4B7A-95B3-C38DCF0779DA}">
  <dimension ref="A1:U43"/>
  <sheetViews>
    <sheetView tabSelected="1" topLeftCell="J1" workbookViewId="0">
      <selection activeCell="N23" activeCellId="1" sqref="F22:G39 N23:O39"/>
    </sheetView>
  </sheetViews>
  <sheetFormatPr defaultRowHeight="14.4" x14ac:dyDescent="0.3"/>
  <cols>
    <col min="1" max="5" width="20.6640625" customWidth="1"/>
    <col min="6" max="7" width="6.6640625" style="13" customWidth="1"/>
    <col min="8" max="8" width="18.6640625" style="13" customWidth="1"/>
    <col min="9" max="11" width="18.6640625" style="1" customWidth="1"/>
    <col min="12" max="13" width="18.6640625" customWidth="1"/>
    <col min="14" max="15" width="6.6640625" style="19" customWidth="1"/>
    <col min="16" max="18" width="18.6640625" customWidth="1"/>
    <col min="19" max="20" width="18.6640625" style="1" customWidth="1"/>
    <col min="21" max="21" width="18.6640625" customWidth="1"/>
  </cols>
  <sheetData>
    <row r="1" spans="1:21" ht="21" x14ac:dyDescent="0.4">
      <c r="A1" s="48" t="s">
        <v>43</v>
      </c>
      <c r="B1" s="48"/>
      <c r="C1" s="48"/>
      <c r="D1" s="48"/>
      <c r="E1" s="48"/>
    </row>
    <row r="2" spans="1:21" ht="15.6" x14ac:dyDescent="0.3">
      <c r="A2" s="65" t="s">
        <v>55</v>
      </c>
      <c r="B2" s="65"/>
      <c r="C2" s="65"/>
      <c r="D2" s="65"/>
      <c r="E2" s="65"/>
      <c r="S2"/>
      <c r="T2"/>
    </row>
    <row r="3" spans="1:21" x14ac:dyDescent="0.3">
      <c r="A3" s="1"/>
      <c r="B3" s="1"/>
      <c r="C3" s="1"/>
      <c r="D3" s="1"/>
      <c r="E3" s="1"/>
      <c r="S3"/>
      <c r="T3"/>
    </row>
    <row r="4" spans="1:21" ht="15.6" x14ac:dyDescent="0.3">
      <c r="A4" s="53" t="s">
        <v>50</v>
      </c>
      <c r="B4" s="53"/>
      <c r="C4" s="62">
        <v>103</v>
      </c>
      <c r="D4" t="s">
        <v>8</v>
      </c>
      <c r="S4"/>
      <c r="T4"/>
    </row>
    <row r="5" spans="1:21" ht="15.6" x14ac:dyDescent="0.3">
      <c r="A5" s="53" t="s">
        <v>7</v>
      </c>
      <c r="B5" s="53"/>
      <c r="C5" s="62">
        <v>1.77</v>
      </c>
      <c r="D5" t="s">
        <v>13</v>
      </c>
      <c r="S5"/>
      <c r="T5"/>
    </row>
    <row r="6" spans="1:21" ht="15.6" x14ac:dyDescent="0.3">
      <c r="A6" s="53" t="s">
        <v>32</v>
      </c>
      <c r="B6" s="53"/>
      <c r="C6" s="62">
        <v>2.9</v>
      </c>
      <c r="D6" t="s">
        <v>8</v>
      </c>
      <c r="S6"/>
      <c r="T6"/>
    </row>
    <row r="7" spans="1:21" x14ac:dyDescent="0.3">
      <c r="A7" s="9"/>
      <c r="B7" s="9"/>
      <c r="C7" s="11"/>
      <c r="S7"/>
      <c r="T7"/>
    </row>
    <row r="8" spans="1:21" x14ac:dyDescent="0.3">
      <c r="A8" s="9"/>
      <c r="B8" s="9" t="s">
        <v>18</v>
      </c>
      <c r="C8" s="1">
        <f>C5*2</f>
        <v>3.54</v>
      </c>
      <c r="D8" s="16" t="s">
        <v>13</v>
      </c>
      <c r="P8" s="16"/>
      <c r="Q8" s="16"/>
      <c r="U8" s="8"/>
    </row>
    <row r="9" spans="1:21" x14ac:dyDescent="0.3">
      <c r="A9" s="9"/>
      <c r="B9" s="9" t="s">
        <v>10</v>
      </c>
      <c r="C9" s="12">
        <f>C4</f>
        <v>103</v>
      </c>
      <c r="D9" t="s">
        <v>8</v>
      </c>
      <c r="U9" s="8"/>
    </row>
    <row r="10" spans="1:21" x14ac:dyDescent="0.3">
      <c r="A10" s="1"/>
      <c r="B10" s="9" t="s">
        <v>11</v>
      </c>
      <c r="C10" s="12">
        <f>C4-(C8*3.28084)</f>
        <v>91.385826399999999</v>
      </c>
      <c r="D10" t="s">
        <v>8</v>
      </c>
      <c r="F10"/>
      <c r="G10"/>
      <c r="H10"/>
    </row>
    <row r="11" spans="1:21" x14ac:dyDescent="0.3">
      <c r="A11" s="1"/>
      <c r="B11" s="9" t="s">
        <v>33</v>
      </c>
      <c r="C11" s="12">
        <f>C9-C6</f>
        <v>100.1</v>
      </c>
      <c r="D11" t="s">
        <v>8</v>
      </c>
      <c r="F11"/>
      <c r="G11"/>
      <c r="H11"/>
    </row>
    <row r="12" spans="1:21" x14ac:dyDescent="0.3">
      <c r="A12" s="1"/>
      <c r="B12" s="9"/>
      <c r="C12" s="12"/>
      <c r="F12"/>
      <c r="G12"/>
      <c r="H12"/>
    </row>
    <row r="13" spans="1:21" ht="16.2" x14ac:dyDescent="0.3">
      <c r="A13" s="53" t="s">
        <v>28</v>
      </c>
      <c r="B13" s="53"/>
      <c r="C13" s="17">
        <f>MAX(S24:S39)</f>
        <v>13413499.05438647</v>
      </c>
      <c r="D13" t="s">
        <v>19</v>
      </c>
      <c r="F13"/>
      <c r="G13"/>
      <c r="H13"/>
    </row>
    <row r="14" spans="1:21" ht="16.2" x14ac:dyDescent="0.3">
      <c r="A14" s="53" t="s">
        <v>44</v>
      </c>
      <c r="B14" s="53"/>
      <c r="C14" s="17">
        <f>MAX(K24:K39)</f>
        <v>17030818.339112155</v>
      </c>
      <c r="D14" t="s">
        <v>19</v>
      </c>
      <c r="F14"/>
      <c r="G14"/>
      <c r="H14"/>
    </row>
    <row r="15" spans="1:21" ht="15.6" x14ac:dyDescent="0.3">
      <c r="A15" s="54" t="s">
        <v>29</v>
      </c>
      <c r="B15" s="54"/>
      <c r="C15" s="44">
        <f>(C13/C14)*100</f>
        <v>78.760155779371317</v>
      </c>
      <c r="D15" s="18"/>
      <c r="F15"/>
      <c r="G15"/>
      <c r="H15"/>
    </row>
    <row r="16" spans="1:21" x14ac:dyDescent="0.3">
      <c r="A16" s="1"/>
      <c r="B16" s="9"/>
      <c r="C16" s="12"/>
      <c r="F16"/>
      <c r="G16"/>
      <c r="H16"/>
    </row>
    <row r="17" spans="1:21" ht="16.2" x14ac:dyDescent="0.3">
      <c r="A17" s="53" t="s">
        <v>30</v>
      </c>
      <c r="B17" s="53"/>
      <c r="C17" s="17">
        <f>MAX(U24:U39)</f>
        <v>67493188.646797359</v>
      </c>
      <c r="D17" t="s">
        <v>20</v>
      </c>
      <c r="F17"/>
      <c r="G17"/>
      <c r="H17"/>
    </row>
    <row r="18" spans="1:21" ht="16.2" x14ac:dyDescent="0.3">
      <c r="A18" s="53" t="s">
        <v>45</v>
      </c>
      <c r="B18" s="53"/>
      <c r="C18" s="17">
        <f>MAX(M24:M39)</f>
        <v>96343754.74501805</v>
      </c>
      <c r="D18" t="s">
        <v>20</v>
      </c>
      <c r="F18"/>
      <c r="G18"/>
      <c r="H18"/>
    </row>
    <row r="19" spans="1:21" ht="15.6" x14ac:dyDescent="0.3">
      <c r="A19" s="54" t="s">
        <v>31</v>
      </c>
      <c r="B19" s="54"/>
      <c r="C19" s="44">
        <f>(C17/C18)*100</f>
        <v>70.054554989499664</v>
      </c>
      <c r="D19" s="18"/>
      <c r="F19"/>
      <c r="G19"/>
      <c r="H19"/>
    </row>
    <row r="20" spans="1:21" x14ac:dyDescent="0.3">
      <c r="F20"/>
      <c r="G20"/>
      <c r="H20"/>
      <c r="L20" s="1"/>
      <c r="M20" s="10"/>
      <c r="N20" s="20"/>
      <c r="O20" s="20"/>
      <c r="P20" s="10"/>
      <c r="Q20" s="10"/>
    </row>
    <row r="21" spans="1:21" ht="18" x14ac:dyDescent="0.35">
      <c r="A21" s="50" t="s">
        <v>6</v>
      </c>
      <c r="B21" s="50"/>
      <c r="C21" s="50"/>
      <c r="D21" s="50"/>
      <c r="E21" s="50"/>
      <c r="F21" s="60" t="s">
        <v>26</v>
      </c>
      <c r="G21" s="61"/>
      <c r="H21" s="50" t="s">
        <v>14</v>
      </c>
      <c r="I21" s="50"/>
      <c r="J21" s="50"/>
      <c r="K21" s="50"/>
      <c r="L21" s="50"/>
      <c r="M21" s="50"/>
      <c r="N21" s="60" t="s">
        <v>26</v>
      </c>
      <c r="O21" s="52"/>
      <c r="P21" s="50" t="s">
        <v>27</v>
      </c>
      <c r="Q21" s="50"/>
      <c r="R21" s="50"/>
      <c r="S21" s="50"/>
      <c r="T21" s="50"/>
      <c r="U21" s="50"/>
    </row>
    <row r="22" spans="1:21" x14ac:dyDescent="0.3">
      <c r="A22" s="5" t="s">
        <v>0</v>
      </c>
      <c r="B22" s="5" t="s">
        <v>12</v>
      </c>
      <c r="C22" s="6" t="s">
        <v>4</v>
      </c>
      <c r="D22" s="6" t="s">
        <v>2</v>
      </c>
      <c r="E22" s="7" t="s">
        <v>23</v>
      </c>
      <c r="F22" s="70" t="s">
        <v>15</v>
      </c>
      <c r="G22" s="70" t="s">
        <v>16</v>
      </c>
      <c r="H22" s="15" t="s">
        <v>0</v>
      </c>
      <c r="I22" s="7" t="s">
        <v>12</v>
      </c>
      <c r="J22" s="7" t="s">
        <v>4</v>
      </c>
      <c r="K22" s="7" t="s">
        <v>24</v>
      </c>
      <c r="L22" s="7" t="s">
        <v>2</v>
      </c>
      <c r="M22" s="7" t="s">
        <v>25</v>
      </c>
      <c r="N22" s="59" t="s">
        <v>15</v>
      </c>
      <c r="O22" s="59" t="s">
        <v>16</v>
      </c>
      <c r="P22" s="7" t="s">
        <v>0</v>
      </c>
      <c r="Q22" s="7" t="s">
        <v>12</v>
      </c>
      <c r="R22" s="15" t="s">
        <v>4</v>
      </c>
      <c r="S22" s="15" t="s">
        <v>24</v>
      </c>
      <c r="T22" s="15" t="s">
        <v>2</v>
      </c>
      <c r="U22" s="15" t="s">
        <v>25</v>
      </c>
    </row>
    <row r="23" spans="1:21" ht="16.2" x14ac:dyDescent="0.3">
      <c r="A23" s="2" t="s">
        <v>5</v>
      </c>
      <c r="B23" s="2" t="s">
        <v>9</v>
      </c>
      <c r="C23" s="3" t="s">
        <v>3</v>
      </c>
      <c r="D23" s="3" t="s">
        <v>1</v>
      </c>
      <c r="E23" s="1" t="s">
        <v>1</v>
      </c>
      <c r="F23" s="70" t="s">
        <v>17</v>
      </c>
      <c r="G23" s="70" t="s">
        <v>17</v>
      </c>
      <c r="H23" s="14" t="s">
        <v>5</v>
      </c>
      <c r="I23" s="1" t="s">
        <v>9</v>
      </c>
      <c r="J23" s="1" t="s">
        <v>3</v>
      </c>
      <c r="K23" s="1" t="s">
        <v>3</v>
      </c>
      <c r="L23" s="1" t="s">
        <v>1</v>
      </c>
      <c r="M23" s="1" t="s">
        <v>1</v>
      </c>
      <c r="N23" s="70" t="s">
        <v>17</v>
      </c>
      <c r="O23" s="70" t="s">
        <v>17</v>
      </c>
      <c r="P23" s="1" t="s">
        <v>5</v>
      </c>
      <c r="Q23" s="1" t="s">
        <v>9</v>
      </c>
      <c r="R23" s="14" t="s">
        <v>21</v>
      </c>
      <c r="S23" s="14" t="s">
        <v>21</v>
      </c>
      <c r="T23" s="14" t="s">
        <v>22</v>
      </c>
      <c r="U23" s="14" t="s">
        <v>22</v>
      </c>
    </row>
    <row r="24" spans="1:21" x14ac:dyDescent="0.3">
      <c r="A24" s="12">
        <f>'MDEP Bathymetry'!D5</f>
        <v>0</v>
      </c>
      <c r="B24" s="63">
        <v>105</v>
      </c>
      <c r="C24" s="67">
        <f>'MDEP Bathymetry'!E5*(9383/8454)</f>
        <v>37970785.66193518</v>
      </c>
      <c r="D24" s="4">
        <f t="shared" ref="D24:D37" si="0">(1/3)*(C24+C25+((C24*C25)^0.5))*(A25-A24)</f>
        <v>35261356.211522326</v>
      </c>
      <c r="E24" s="4">
        <f t="shared" ref="E24:E37" si="1">E25+D24</f>
        <v>149240827.14891851</v>
      </c>
      <c r="F24" s="71">
        <f>IF($C$9=B24,B24, IF($C$9&lt;B24,IF($C$9&gt;B25,$C$9,""),""))</f>
        <v>103</v>
      </c>
      <c r="G24" s="71" t="str">
        <f>IF(B24&gt;$C$10,"",IF(B24=$C$10,$C$10,IF(B24&lt;$C$10,IF(B23&gt;$C$10,$C$10,""),"")))</f>
        <v/>
      </c>
      <c r="H24" s="26">
        <f t="shared" ref="H24:H39" si="2">IF(I24="","",($C$9-I24)/3.28084)</f>
        <v>0</v>
      </c>
      <c r="I24" s="3">
        <f t="shared" ref="I24:I39" si="3">IF(F24=$C$9,F24, IF(G24=$C$10,G24,IF(B24&gt;$C$10,IF(B24&lt;$C$9,B24,""),"")))</f>
        <v>103</v>
      </c>
      <c r="J24" s="4">
        <f>IF(I24=B24,C24,IF(I24=$C$9,((((I24-I25)/(B24-I25))*(C24-J25))+J25),IF(I24=$C$10,((((I24-B24)/(B23-B24))*(C23-C24))+C24),"")))</f>
        <v>34708722.571305156</v>
      </c>
      <c r="K24" s="4">
        <f>IF(J24="","",J24-(MIN($J$24:$J$39)))</f>
        <v>17030818.339112155</v>
      </c>
      <c r="L24" s="4">
        <f>IF(I24="","",IF(I24=$C$10,0,((1/3)*(J24+J25+((J24*J25)^0.5))*(H25-H24))))</f>
        <v>13140386.138960952</v>
      </c>
      <c r="M24" s="4">
        <f>IF(L24="","",IF(L24=0,0,(M25+L24)))</f>
        <v>96343754.74501805</v>
      </c>
      <c r="N24" s="72" t="str">
        <f>IF(I24="","",IF($C$11&lt;I24,IF($C$11&gt;I25,$C$11,""),""))</f>
        <v/>
      </c>
      <c r="O24" s="72" t="str">
        <f>G24</f>
        <v/>
      </c>
      <c r="P24" s="27" t="str">
        <f>IF(Q24="","",(($C$11-Q24)/3.28084))</f>
        <v/>
      </c>
      <c r="Q24" s="3" t="str">
        <f>IF(N24=$C$11, $C$11,IF(I24&gt;$C$11,"",I24))</f>
        <v/>
      </c>
      <c r="R24" s="4" t="str">
        <f>IF(Q24="","",IF(Q24=$C$11,((((Q24-Q25)/(I24-Q25))*(J24-J25))+J25),J24))</f>
        <v/>
      </c>
      <c r="S24" s="4" t="str">
        <f>IF(R24="","",R24-MIN($R$24:$R$39))</f>
        <v/>
      </c>
      <c r="T24" s="4" t="str">
        <f>IF(Q24="","",IF(I24=$C$10,0,((1/3)*(R24+R25+((R24*R25)^0.5))*(P25-P24))))</f>
        <v/>
      </c>
      <c r="U24" s="4" t="str">
        <f>IF(T24="","",IF(T24=0,0,(U25+T24)))</f>
        <v/>
      </c>
    </row>
    <row r="25" spans="1:21" x14ac:dyDescent="0.3">
      <c r="A25" s="12">
        <f>'MDEP Bathymetry'!D6</f>
        <v>1</v>
      </c>
      <c r="B25" s="12">
        <f>$B$24-(A25*3.28084)</f>
        <v>101.71916</v>
      </c>
      <c r="C25" s="67">
        <f>'MDEP Bathymetry'!E6*(9383/8454)</f>
        <v>32619632.126803879</v>
      </c>
      <c r="D25" s="4">
        <f t="shared" si="0"/>
        <v>31058470.571263038</v>
      </c>
      <c r="E25" s="4">
        <f t="shared" si="1"/>
        <v>113979470.9373962</v>
      </c>
      <c r="F25" s="71" t="str">
        <f t="shared" ref="F25:F39" si="4">IF($C$9=B25,B25, IF($C$9&lt;B25,IF($C$9&gt;B26,$C$9,""),""))</f>
        <v/>
      </c>
      <c r="G25" s="71" t="str">
        <f t="shared" ref="G25:G39" si="5">IF(B25&gt;$C$10,"",IF(B25=$C$10,$C$10,IF(B25&lt;$C$10,IF(B24&gt;$C$10,$C$10,""),"")))</f>
        <v/>
      </c>
      <c r="H25" s="26">
        <f t="shared" si="2"/>
        <v>0.39040001950719871</v>
      </c>
      <c r="I25" s="3">
        <f t="shared" si="3"/>
        <v>101.71916</v>
      </c>
      <c r="J25" s="4">
        <f t="shared" ref="J25:J39" si="6">IF(I25=B25,C25,IF(I25=$C$9,((((I25-I26)/(B25-I26))*(C25-J26))+J26),IF(I25=$C$10,((((I25-B25)/(B24-B25))*(C24-C25))+C25),"")))</f>
        <v>32619632.126803879</v>
      </c>
      <c r="K25" s="4">
        <f t="shared" ref="K25:K39" si="7">IF(J25="","",J25-(MIN($J$24:$J$39)))</f>
        <v>14941727.894610878</v>
      </c>
      <c r="L25" s="4">
        <f t="shared" ref="L25:L39" si="8">IF(I25="","",IF(I25=$C$10,0,((1/3)*(J25+J26+((J25*J26)^0.5))*(H26-H25))))</f>
        <v>31058470.571263015</v>
      </c>
      <c r="M25" s="4">
        <f t="shared" ref="M25:M39" si="9">IF(L25="","",IF(L25=0,0,(M26+L25)))</f>
        <v>83203368.606057093</v>
      </c>
      <c r="N25" s="72">
        <f t="shared" ref="N25:N39" si="10">IF(I25="","",IF($C$11&lt;I25,IF($C$11&gt;I26,$C$11,""),""))</f>
        <v>100.1</v>
      </c>
      <c r="O25" s="72" t="str">
        <f t="shared" ref="O25:O39" si="11">G25</f>
        <v/>
      </c>
      <c r="P25" s="27">
        <f t="shared" ref="P25:P39" si="12">IF(Q25="","",(($C$11-Q25)/3.28084))</f>
        <v>0</v>
      </c>
      <c r="Q25" s="3">
        <f t="shared" ref="Q25:Q39" si="13">IF(N25=$C$11, $C$11,IF(I25&gt;$C$11,"",I25))</f>
        <v>100.1</v>
      </c>
      <c r="R25" s="4">
        <f t="shared" ref="R25:R39" si="14">IF(Q25="","",IF(Q25=$C$11,((((Q25-Q26)/(I25-Q26))*(J25-J26))+J26),J25))</f>
        <v>31091403.286579471</v>
      </c>
      <c r="S25" s="4">
        <f t="shared" ref="S25:S39" si="15">IF(R25="","",R25-MIN($R$24:$R$39))</f>
        <v>13413499.05438647</v>
      </c>
      <c r="T25" s="4">
        <f t="shared" ref="T25:T39" si="16">IF(Q25="","",IF(I25=$C$10,0,((1/3)*(R25+R26+((R25*R26)^0.5))*(P26-P25))))</f>
        <v>15348290.612003298</v>
      </c>
      <c r="U25" s="4">
        <f t="shared" ref="U25:U39" si="17">IF(T25="","",IF(T25=0,0,(U26+T25)))</f>
        <v>67493188.646797359</v>
      </c>
    </row>
    <row r="26" spans="1:21" x14ac:dyDescent="0.3">
      <c r="A26" s="12">
        <f>'MDEP Bathymetry'!D7</f>
        <v>2</v>
      </c>
      <c r="B26" s="12">
        <f t="shared" ref="B26:B39" si="18">$B$24-(A26*3.28084)</f>
        <v>98.438320000000004</v>
      </c>
      <c r="C26" s="67">
        <f>'MDEP Bathymetry'!E7*(9383/8454)</f>
        <v>29523042.346818075</v>
      </c>
      <c r="D26" s="4">
        <f t="shared" si="0"/>
        <v>27399805.524448831</v>
      </c>
      <c r="E26" s="4">
        <f t="shared" si="1"/>
        <v>82921000.366133153</v>
      </c>
      <c r="F26" s="71" t="str">
        <f t="shared" si="4"/>
        <v/>
      </c>
      <c r="G26" s="71" t="str">
        <f t="shared" si="5"/>
        <v/>
      </c>
      <c r="H26" s="26">
        <f t="shared" si="2"/>
        <v>1.3904000195071979</v>
      </c>
      <c r="I26" s="3">
        <f t="shared" si="3"/>
        <v>98.438320000000004</v>
      </c>
      <c r="J26" s="4">
        <f t="shared" si="6"/>
        <v>29523042.346818075</v>
      </c>
      <c r="K26" s="4">
        <f t="shared" si="7"/>
        <v>11845138.114625074</v>
      </c>
      <c r="L26" s="4">
        <f t="shared" si="8"/>
        <v>27399805.524448935</v>
      </c>
      <c r="M26" s="4">
        <f t="shared" si="9"/>
        <v>52144898.034794077</v>
      </c>
      <c r="N26" s="72" t="str">
        <f t="shared" si="10"/>
        <v/>
      </c>
      <c r="O26" s="72" t="str">
        <f t="shared" si="11"/>
        <v/>
      </c>
      <c r="P26" s="27">
        <f t="shared" si="12"/>
        <v>0.50648004779263534</v>
      </c>
      <c r="Q26" s="3">
        <f t="shared" si="13"/>
        <v>98.438320000000004</v>
      </c>
      <c r="R26" s="4">
        <f t="shared" si="14"/>
        <v>29523042.346818075</v>
      </c>
      <c r="S26" s="4">
        <f t="shared" si="15"/>
        <v>11845138.114625074</v>
      </c>
      <c r="T26" s="4">
        <f t="shared" si="16"/>
        <v>27399805.524448927</v>
      </c>
      <c r="U26" s="4">
        <f t="shared" si="17"/>
        <v>52144898.034794062</v>
      </c>
    </row>
    <row r="27" spans="1:21" x14ac:dyDescent="0.3">
      <c r="A27" s="12">
        <f>'MDEP Bathymetry'!D8</f>
        <v>3</v>
      </c>
      <c r="B27" s="12">
        <f t="shared" si="18"/>
        <v>95.157479999999993</v>
      </c>
      <c r="C27" s="67">
        <f>'MDEP Bathymetry'!E8*(9383/8454)</f>
        <v>25330065.554175537</v>
      </c>
      <c r="D27" s="4">
        <f t="shared" si="0"/>
        <v>22012920.02635837</v>
      </c>
      <c r="E27" s="4">
        <f>E28+D27</f>
        <v>55521194.841684327</v>
      </c>
      <c r="F27" s="71" t="str">
        <f t="shared" si="4"/>
        <v/>
      </c>
      <c r="G27" s="71" t="str">
        <f t="shared" si="5"/>
        <v/>
      </c>
      <c r="H27" s="26">
        <f t="shared" si="2"/>
        <v>2.3904000195072017</v>
      </c>
      <c r="I27" s="3">
        <f t="shared" si="3"/>
        <v>95.157479999999993</v>
      </c>
      <c r="J27" s="4">
        <f t="shared" si="6"/>
        <v>25330065.554175537</v>
      </c>
      <c r="K27" s="4">
        <f t="shared" si="7"/>
        <v>7652161.3219825365</v>
      </c>
      <c r="L27" s="4">
        <f t="shared" si="8"/>
        <v>22012920.026358351</v>
      </c>
      <c r="M27" s="4">
        <f t="shared" si="9"/>
        <v>24745092.510345139</v>
      </c>
      <c r="N27" s="72" t="str">
        <f t="shared" si="10"/>
        <v/>
      </c>
      <c r="O27" s="72" t="str">
        <f t="shared" si="11"/>
        <v/>
      </c>
      <c r="P27" s="27">
        <f t="shared" si="12"/>
        <v>1.506480047792639</v>
      </c>
      <c r="Q27" s="3">
        <f t="shared" si="13"/>
        <v>95.157479999999993</v>
      </c>
      <c r="R27" s="4">
        <f t="shared" si="14"/>
        <v>25330065.554175537</v>
      </c>
      <c r="S27" s="4">
        <f t="shared" si="15"/>
        <v>7652161.3219825365</v>
      </c>
      <c r="T27" s="4">
        <f t="shared" si="16"/>
        <v>22012920.026358359</v>
      </c>
      <c r="U27" s="4">
        <f t="shared" si="17"/>
        <v>24745092.510345139</v>
      </c>
    </row>
    <row r="28" spans="1:21" x14ac:dyDescent="0.3">
      <c r="A28" s="12">
        <f>'MDEP Bathymetry'!D9</f>
        <v>4</v>
      </c>
      <c r="B28" s="12">
        <f t="shared" si="18"/>
        <v>91.876639999999995</v>
      </c>
      <c r="C28" s="67">
        <f>'MDEP Bathymetry'!E9*(9383/8454)</f>
        <v>18854791.104802459</v>
      </c>
      <c r="D28" s="4">
        <f t="shared" si="0"/>
        <v>14745416.485070549</v>
      </c>
      <c r="E28" s="4">
        <f t="shared" si="1"/>
        <v>33508274.815325953</v>
      </c>
      <c r="F28" s="71" t="str">
        <f t="shared" si="4"/>
        <v/>
      </c>
      <c r="G28" s="71" t="str">
        <f t="shared" si="5"/>
        <v/>
      </c>
      <c r="H28" s="26">
        <f t="shared" si="2"/>
        <v>3.3904000195072008</v>
      </c>
      <c r="I28" s="3">
        <f t="shared" si="3"/>
        <v>91.876639999999995</v>
      </c>
      <c r="J28" s="4">
        <f t="shared" si="6"/>
        <v>18854791.104802459</v>
      </c>
      <c r="K28" s="4">
        <f t="shared" si="7"/>
        <v>1176886.8726094589</v>
      </c>
      <c r="L28" s="4">
        <f t="shared" si="8"/>
        <v>2732172.4839867875</v>
      </c>
      <c r="M28" s="4">
        <f t="shared" si="9"/>
        <v>2732172.4839867875</v>
      </c>
      <c r="N28" s="72" t="str">
        <f t="shared" si="10"/>
        <v/>
      </c>
      <c r="O28" s="72" t="str">
        <f t="shared" si="11"/>
        <v/>
      </c>
      <c r="P28" s="27">
        <f t="shared" si="12"/>
        <v>2.5064800477926386</v>
      </c>
      <c r="Q28" s="3">
        <f t="shared" si="13"/>
        <v>91.876639999999995</v>
      </c>
      <c r="R28" s="4">
        <f t="shared" si="14"/>
        <v>18854791.104802459</v>
      </c>
      <c r="S28" s="4">
        <f t="shared" si="15"/>
        <v>1176886.8726094589</v>
      </c>
      <c r="T28" s="4">
        <f t="shared" si="16"/>
        <v>2732172.4839867791</v>
      </c>
      <c r="U28" s="4">
        <f t="shared" si="17"/>
        <v>2732172.4839867791</v>
      </c>
    </row>
    <row r="29" spans="1:21" x14ac:dyDescent="0.3">
      <c r="A29" s="12">
        <f>'MDEP Bathymetry'!D10</f>
        <v>5</v>
      </c>
      <c r="B29" s="12">
        <f t="shared" si="18"/>
        <v>88.595799999999997</v>
      </c>
      <c r="C29" s="67">
        <f>'MDEP Bathymetry'!E10*(9383/8454)</f>
        <v>10987899.219304472</v>
      </c>
      <c r="D29" s="4">
        <f t="shared" si="0"/>
        <v>8087233.628112522</v>
      </c>
      <c r="E29" s="4">
        <f t="shared" si="1"/>
        <v>18762858.330255404</v>
      </c>
      <c r="F29" s="71" t="str">
        <f t="shared" si="4"/>
        <v/>
      </c>
      <c r="G29" s="71">
        <f t="shared" si="5"/>
        <v>91.385826399999999</v>
      </c>
      <c r="H29" s="26">
        <f t="shared" si="2"/>
        <v>3.5400000000000005</v>
      </c>
      <c r="I29" s="3">
        <f t="shared" si="3"/>
        <v>91.385826399999999</v>
      </c>
      <c r="J29" s="4">
        <f>IF(I29=B29,C29,IF(I29=$C$9,((((I29-I30)/(B29-I30))*(C29-J30))+J30),IF(I29=$C$10,((((I29-B29)/(B28-B29))*(C28-C29))+C29),"")))</f>
        <v>17677904.232193001</v>
      </c>
      <c r="K29" s="4">
        <f t="shared" si="7"/>
        <v>0</v>
      </c>
      <c r="L29" s="4">
        <f t="shared" si="8"/>
        <v>0</v>
      </c>
      <c r="M29" s="4">
        <f t="shared" si="9"/>
        <v>0</v>
      </c>
      <c r="N29" s="72" t="str">
        <f t="shared" si="10"/>
        <v/>
      </c>
      <c r="O29" s="72">
        <f t="shared" si="11"/>
        <v>91.385826399999999</v>
      </c>
      <c r="P29" s="27">
        <f t="shared" si="12"/>
        <v>2.6560800282854378</v>
      </c>
      <c r="Q29" s="3">
        <f t="shared" si="13"/>
        <v>91.385826399999999</v>
      </c>
      <c r="R29" s="4">
        <f t="shared" si="14"/>
        <v>17677904.232193001</v>
      </c>
      <c r="S29" s="4">
        <f t="shared" si="15"/>
        <v>0</v>
      </c>
      <c r="T29" s="4">
        <f t="shared" si="16"/>
        <v>0</v>
      </c>
      <c r="U29" s="4">
        <f t="shared" si="17"/>
        <v>0</v>
      </c>
    </row>
    <row r="30" spans="1:21" x14ac:dyDescent="0.3">
      <c r="A30" s="12">
        <f>'MDEP Bathymetry'!D11</f>
        <v>6</v>
      </c>
      <c r="B30" s="12">
        <f t="shared" si="18"/>
        <v>85.314959999999999</v>
      </c>
      <c r="C30" s="67">
        <f>'MDEP Bathymetry'!E11*(9383/8454)</f>
        <v>5499945.2290040217</v>
      </c>
      <c r="D30" s="4">
        <f t="shared" si="0"/>
        <v>4721914.1642410243</v>
      </c>
      <c r="E30" s="4">
        <f t="shared" si="1"/>
        <v>10675624.702142881</v>
      </c>
      <c r="F30" s="71" t="str">
        <f t="shared" si="4"/>
        <v/>
      </c>
      <c r="G30" s="71" t="str">
        <f t="shared" si="5"/>
        <v/>
      </c>
      <c r="H30" s="26" t="str">
        <f t="shared" si="2"/>
        <v/>
      </c>
      <c r="I30" s="3" t="str">
        <f t="shared" si="3"/>
        <v/>
      </c>
      <c r="J30" s="4" t="str">
        <f t="shared" si="6"/>
        <v/>
      </c>
      <c r="K30" s="4" t="str">
        <f t="shared" si="7"/>
        <v/>
      </c>
      <c r="L30" s="4" t="str">
        <f t="shared" si="8"/>
        <v/>
      </c>
      <c r="M30" s="4" t="str">
        <f t="shared" si="9"/>
        <v/>
      </c>
      <c r="N30" s="72" t="str">
        <f t="shared" si="10"/>
        <v/>
      </c>
      <c r="O30" s="72" t="str">
        <f t="shared" si="11"/>
        <v/>
      </c>
      <c r="P30" s="27" t="str">
        <f t="shared" si="12"/>
        <v/>
      </c>
      <c r="Q30" s="3" t="str">
        <f t="shared" si="13"/>
        <v/>
      </c>
      <c r="R30" s="4" t="str">
        <f t="shared" si="14"/>
        <v/>
      </c>
      <c r="S30" s="4" t="str">
        <f t="shared" si="15"/>
        <v/>
      </c>
      <c r="T30" s="4" t="str">
        <f t="shared" si="16"/>
        <v/>
      </c>
      <c r="U30" s="4" t="str">
        <f t="shared" si="17"/>
        <v/>
      </c>
    </row>
    <row r="31" spans="1:21" x14ac:dyDescent="0.3">
      <c r="A31" s="12">
        <f>'MDEP Bathymetry'!D12</f>
        <v>7</v>
      </c>
      <c r="B31" s="12">
        <f t="shared" si="18"/>
        <v>82.034120000000001</v>
      </c>
      <c r="C31" s="67">
        <f>'MDEP Bathymetry'!E12*(9383/8454)</f>
        <v>3984500.8280104091</v>
      </c>
      <c r="D31" s="4">
        <f t="shared" si="0"/>
        <v>3096385.7356207492</v>
      </c>
      <c r="E31" s="4">
        <f t="shared" si="1"/>
        <v>5953710.5379018569</v>
      </c>
      <c r="F31" s="71" t="str">
        <f t="shared" si="4"/>
        <v/>
      </c>
      <c r="G31" s="71" t="str">
        <f t="shared" si="5"/>
        <v/>
      </c>
      <c r="H31" s="26" t="str">
        <f t="shared" si="2"/>
        <v/>
      </c>
      <c r="I31" s="3" t="str">
        <f t="shared" si="3"/>
        <v/>
      </c>
      <c r="J31" s="4" t="str">
        <f t="shared" si="6"/>
        <v/>
      </c>
      <c r="K31" s="4" t="str">
        <f t="shared" si="7"/>
        <v/>
      </c>
      <c r="L31" s="4" t="str">
        <f t="shared" si="8"/>
        <v/>
      </c>
      <c r="M31" s="4" t="str">
        <f t="shared" si="9"/>
        <v/>
      </c>
      <c r="N31" s="72" t="str">
        <f t="shared" si="10"/>
        <v/>
      </c>
      <c r="O31" s="72" t="str">
        <f t="shared" si="11"/>
        <v/>
      </c>
      <c r="P31" s="27" t="str">
        <f t="shared" si="12"/>
        <v/>
      </c>
      <c r="Q31" s="3" t="str">
        <f t="shared" si="13"/>
        <v/>
      </c>
      <c r="R31" s="4" t="str">
        <f t="shared" si="14"/>
        <v/>
      </c>
      <c r="S31" s="4" t="str">
        <f t="shared" si="15"/>
        <v/>
      </c>
      <c r="T31" s="4" t="str">
        <f t="shared" si="16"/>
        <v/>
      </c>
      <c r="U31" s="4" t="str">
        <f t="shared" si="17"/>
        <v/>
      </c>
    </row>
    <row r="32" spans="1:21" x14ac:dyDescent="0.3">
      <c r="A32" s="12">
        <f>'MDEP Bathymetry'!D13</f>
        <v>8</v>
      </c>
      <c r="B32" s="12">
        <f t="shared" si="18"/>
        <v>78.753280000000004</v>
      </c>
      <c r="C32" s="67">
        <f>'MDEP Bathymetry'!E13*(9383/8454)</f>
        <v>2286370.9486633549</v>
      </c>
      <c r="D32" s="4">
        <f t="shared" si="0"/>
        <v>1338469.6813474514</v>
      </c>
      <c r="E32" s="4">
        <f t="shared" si="1"/>
        <v>2857324.8022811078</v>
      </c>
      <c r="F32" s="71" t="str">
        <f t="shared" si="4"/>
        <v/>
      </c>
      <c r="G32" s="71" t="str">
        <f t="shared" si="5"/>
        <v/>
      </c>
      <c r="H32" s="26" t="str">
        <f t="shared" si="2"/>
        <v/>
      </c>
      <c r="I32" s="3" t="str">
        <f t="shared" si="3"/>
        <v/>
      </c>
      <c r="J32" s="4" t="str">
        <f t="shared" si="6"/>
        <v/>
      </c>
      <c r="K32" s="4" t="str">
        <f t="shared" si="7"/>
        <v/>
      </c>
      <c r="L32" s="4" t="str">
        <f t="shared" si="8"/>
        <v/>
      </c>
      <c r="M32" s="4" t="str">
        <f t="shared" si="9"/>
        <v/>
      </c>
      <c r="N32" s="72" t="str">
        <f t="shared" si="10"/>
        <v/>
      </c>
      <c r="O32" s="72" t="str">
        <f t="shared" si="11"/>
        <v/>
      </c>
      <c r="P32" s="27" t="str">
        <f t="shared" si="12"/>
        <v/>
      </c>
      <c r="Q32" s="3" t="str">
        <f t="shared" si="13"/>
        <v/>
      </c>
      <c r="R32" s="4" t="str">
        <f t="shared" si="14"/>
        <v/>
      </c>
      <c r="S32" s="4" t="str">
        <f t="shared" si="15"/>
        <v/>
      </c>
      <c r="T32" s="4" t="str">
        <f t="shared" si="16"/>
        <v/>
      </c>
      <c r="U32" s="4" t="str">
        <f t="shared" si="17"/>
        <v/>
      </c>
    </row>
    <row r="33" spans="1:21" x14ac:dyDescent="0.3">
      <c r="A33" s="12">
        <f>'MDEP Bathymetry'!D14</f>
        <v>9</v>
      </c>
      <c r="B33" s="12">
        <f t="shared" si="18"/>
        <v>75.472440000000006</v>
      </c>
      <c r="C33" s="67">
        <f>'MDEP Bathymetry'!E14*(9383/8454)</f>
        <v>578733.76176957658</v>
      </c>
      <c r="D33" s="4">
        <f t="shared" si="0"/>
        <v>522789.18736294849</v>
      </c>
      <c r="E33" s="4">
        <f t="shared" si="1"/>
        <v>1518855.1209336566</v>
      </c>
      <c r="F33" s="71" t="str">
        <f t="shared" si="4"/>
        <v/>
      </c>
      <c r="G33" s="71" t="str">
        <f t="shared" si="5"/>
        <v/>
      </c>
      <c r="H33" s="26" t="str">
        <f t="shared" si="2"/>
        <v/>
      </c>
      <c r="I33" s="3" t="str">
        <f t="shared" si="3"/>
        <v/>
      </c>
      <c r="J33" s="4" t="str">
        <f t="shared" si="6"/>
        <v/>
      </c>
      <c r="K33" s="4" t="str">
        <f t="shared" si="7"/>
        <v/>
      </c>
      <c r="L33" s="4" t="str">
        <f t="shared" si="8"/>
        <v/>
      </c>
      <c r="M33" s="4" t="str">
        <f t="shared" si="9"/>
        <v/>
      </c>
      <c r="N33" s="72" t="str">
        <f t="shared" si="10"/>
        <v/>
      </c>
      <c r="O33" s="72" t="str">
        <f t="shared" si="11"/>
        <v/>
      </c>
      <c r="P33" s="27" t="str">
        <f t="shared" si="12"/>
        <v/>
      </c>
      <c r="Q33" s="3" t="str">
        <f t="shared" si="13"/>
        <v/>
      </c>
      <c r="R33" s="4" t="str">
        <f t="shared" si="14"/>
        <v/>
      </c>
      <c r="S33" s="4" t="str">
        <f t="shared" si="15"/>
        <v/>
      </c>
      <c r="T33" s="4" t="str">
        <f t="shared" si="16"/>
        <v/>
      </c>
      <c r="U33" s="4" t="str">
        <f t="shared" si="17"/>
        <v/>
      </c>
    </row>
    <row r="34" spans="1:21" x14ac:dyDescent="0.3">
      <c r="A34" s="12">
        <f>'MDEP Bathymetry'!D15</f>
        <v>10</v>
      </c>
      <c r="B34" s="12">
        <f t="shared" si="18"/>
        <v>72.191599999999994</v>
      </c>
      <c r="C34" s="67">
        <f>'MDEP Bathymetry'!E15*(9383/8454)</f>
        <v>468773.74769339955</v>
      </c>
      <c r="D34" s="4">
        <f t="shared" si="0"/>
        <v>412571.38533957489</v>
      </c>
      <c r="E34" s="4">
        <f t="shared" si="1"/>
        <v>996065.93357070815</v>
      </c>
      <c r="F34" s="71" t="str">
        <f t="shared" si="4"/>
        <v/>
      </c>
      <c r="G34" s="71" t="str">
        <f t="shared" si="5"/>
        <v/>
      </c>
      <c r="H34" s="26" t="str">
        <f t="shared" si="2"/>
        <v/>
      </c>
      <c r="I34" s="3" t="str">
        <f t="shared" si="3"/>
        <v/>
      </c>
      <c r="J34" s="4" t="str">
        <f t="shared" si="6"/>
        <v/>
      </c>
      <c r="K34" s="4" t="str">
        <f t="shared" si="7"/>
        <v/>
      </c>
      <c r="L34" s="4" t="str">
        <f t="shared" si="8"/>
        <v/>
      </c>
      <c r="M34" s="4" t="str">
        <f t="shared" si="9"/>
        <v/>
      </c>
      <c r="N34" s="72" t="str">
        <f t="shared" si="10"/>
        <v/>
      </c>
      <c r="O34" s="72" t="str">
        <f t="shared" si="11"/>
        <v/>
      </c>
      <c r="P34" s="27" t="str">
        <f t="shared" si="12"/>
        <v/>
      </c>
      <c r="Q34" s="3" t="str">
        <f t="shared" si="13"/>
        <v/>
      </c>
      <c r="R34" s="4" t="str">
        <f t="shared" si="14"/>
        <v/>
      </c>
      <c r="S34" s="4" t="str">
        <f t="shared" si="15"/>
        <v/>
      </c>
      <c r="T34" s="4" t="str">
        <f t="shared" si="16"/>
        <v/>
      </c>
      <c r="U34" s="4" t="str">
        <f t="shared" si="17"/>
        <v/>
      </c>
    </row>
    <row r="35" spans="1:21" x14ac:dyDescent="0.3">
      <c r="A35" s="12">
        <f>'MDEP Bathymetry'!D16</f>
        <v>11</v>
      </c>
      <c r="B35" s="12">
        <f t="shared" si="18"/>
        <v>68.91076000000001</v>
      </c>
      <c r="C35" s="67">
        <f>'MDEP Bathymetry'!E16*(9383/8454)</f>
        <v>358814.84350603266</v>
      </c>
      <c r="D35" s="4">
        <f t="shared" si="0"/>
        <v>302163.48970920511</v>
      </c>
      <c r="E35" s="4">
        <f t="shared" si="1"/>
        <v>583494.54823113326</v>
      </c>
      <c r="F35" s="71" t="str">
        <f t="shared" si="4"/>
        <v/>
      </c>
      <c r="G35" s="71" t="str">
        <f t="shared" si="5"/>
        <v/>
      </c>
      <c r="H35" s="26" t="str">
        <f t="shared" si="2"/>
        <v/>
      </c>
      <c r="I35" s="3" t="str">
        <f t="shared" si="3"/>
        <v/>
      </c>
      <c r="J35" s="4" t="str">
        <f t="shared" si="6"/>
        <v/>
      </c>
      <c r="K35" s="4" t="str">
        <f t="shared" si="7"/>
        <v/>
      </c>
      <c r="L35" s="4" t="str">
        <f t="shared" si="8"/>
        <v/>
      </c>
      <c r="M35" s="4" t="str">
        <f t="shared" si="9"/>
        <v/>
      </c>
      <c r="N35" s="72" t="str">
        <f t="shared" si="10"/>
        <v/>
      </c>
      <c r="O35" s="72" t="str">
        <f t="shared" si="11"/>
        <v/>
      </c>
      <c r="P35" s="27" t="str">
        <f t="shared" si="12"/>
        <v/>
      </c>
      <c r="Q35" s="3" t="str">
        <f t="shared" si="13"/>
        <v/>
      </c>
      <c r="R35" s="4" t="str">
        <f t="shared" si="14"/>
        <v/>
      </c>
      <c r="S35" s="4" t="str">
        <f t="shared" si="15"/>
        <v/>
      </c>
      <c r="T35" s="4" t="str">
        <f t="shared" si="16"/>
        <v/>
      </c>
      <c r="U35" s="4" t="str">
        <f t="shared" si="17"/>
        <v/>
      </c>
    </row>
    <row r="36" spans="1:21" x14ac:dyDescent="0.3">
      <c r="A36" s="12">
        <f>'MDEP Bathymetry'!D17</f>
        <v>12</v>
      </c>
      <c r="B36" s="12">
        <f t="shared" si="18"/>
        <v>65.629919999999998</v>
      </c>
      <c r="C36" s="67">
        <f>'MDEP Bathymetry'!E17*(9383/8454)</f>
        <v>248855.93931866571</v>
      </c>
      <c r="D36" s="4">
        <f t="shared" si="0"/>
        <v>194429.72498176107</v>
      </c>
      <c r="E36" s="4">
        <f t="shared" si="1"/>
        <v>281331.05852192821</v>
      </c>
      <c r="F36" s="71" t="str">
        <f t="shared" si="4"/>
        <v/>
      </c>
      <c r="G36" s="71" t="str">
        <f t="shared" si="5"/>
        <v/>
      </c>
      <c r="H36" s="26" t="str">
        <f t="shared" si="2"/>
        <v/>
      </c>
      <c r="I36" s="3" t="str">
        <f t="shared" si="3"/>
        <v/>
      </c>
      <c r="J36" s="4" t="str">
        <f t="shared" si="6"/>
        <v/>
      </c>
      <c r="K36" s="4" t="str">
        <f t="shared" si="7"/>
        <v/>
      </c>
      <c r="L36" s="4" t="str">
        <f t="shared" si="8"/>
        <v/>
      </c>
      <c r="M36" s="4" t="str">
        <f t="shared" si="9"/>
        <v/>
      </c>
      <c r="N36" s="72" t="str">
        <f t="shared" si="10"/>
        <v/>
      </c>
      <c r="O36" s="72" t="str">
        <f t="shared" si="11"/>
        <v/>
      </c>
      <c r="P36" s="27" t="str">
        <f t="shared" si="12"/>
        <v/>
      </c>
      <c r="Q36" s="3" t="str">
        <f t="shared" si="13"/>
        <v/>
      </c>
      <c r="R36" s="4" t="str">
        <f t="shared" si="14"/>
        <v/>
      </c>
      <c r="S36" s="4" t="str">
        <f t="shared" si="15"/>
        <v/>
      </c>
      <c r="T36" s="4" t="str">
        <f t="shared" si="16"/>
        <v/>
      </c>
      <c r="U36" s="4" t="str">
        <f t="shared" si="17"/>
        <v/>
      </c>
    </row>
    <row r="37" spans="1:21" x14ac:dyDescent="0.3">
      <c r="A37" s="12">
        <f>'MDEP Bathymetry'!D18</f>
        <v>13</v>
      </c>
      <c r="B37" s="12">
        <f t="shared" si="18"/>
        <v>62.349080000000001</v>
      </c>
      <c r="C37" s="67">
        <f>'MDEP Bathymetry'!E18*(9383/8454)</f>
        <v>144682.88549798913</v>
      </c>
      <c r="D37" s="4">
        <f t="shared" si="0"/>
        <v>83428.935409104903</v>
      </c>
      <c r="E37" s="4">
        <f t="shared" si="1"/>
        <v>86901.333540167136</v>
      </c>
      <c r="F37" s="71" t="str">
        <f t="shared" si="4"/>
        <v/>
      </c>
      <c r="G37" s="71" t="str">
        <f t="shared" si="5"/>
        <v/>
      </c>
      <c r="H37" s="26" t="str">
        <f t="shared" si="2"/>
        <v/>
      </c>
      <c r="I37" s="3" t="str">
        <f t="shared" si="3"/>
        <v/>
      </c>
      <c r="J37" s="4" t="str">
        <f t="shared" si="6"/>
        <v/>
      </c>
      <c r="K37" s="4" t="str">
        <f t="shared" si="7"/>
        <v/>
      </c>
      <c r="L37" s="4" t="str">
        <f t="shared" si="8"/>
        <v/>
      </c>
      <c r="M37" s="4" t="str">
        <f t="shared" si="9"/>
        <v/>
      </c>
      <c r="N37" s="72" t="str">
        <f t="shared" si="10"/>
        <v/>
      </c>
      <c r="O37" s="72" t="str">
        <f t="shared" si="11"/>
        <v/>
      </c>
      <c r="P37" s="27" t="str">
        <f t="shared" si="12"/>
        <v/>
      </c>
      <c r="Q37" s="3" t="str">
        <f t="shared" si="13"/>
        <v/>
      </c>
      <c r="R37" s="4" t="str">
        <f t="shared" si="14"/>
        <v/>
      </c>
      <c r="S37" s="4" t="str">
        <f t="shared" si="15"/>
        <v/>
      </c>
      <c r="T37" s="4" t="str">
        <f t="shared" si="16"/>
        <v/>
      </c>
      <c r="U37" s="4" t="str">
        <f t="shared" si="17"/>
        <v/>
      </c>
    </row>
    <row r="38" spans="1:21" x14ac:dyDescent="0.3">
      <c r="A38" s="12">
        <f>'MDEP Bathymetry'!D19</f>
        <v>14</v>
      </c>
      <c r="B38" s="12">
        <f t="shared" si="18"/>
        <v>59.068240000000003</v>
      </c>
      <c r="C38" s="67">
        <f>'MDEP Bathymetry'!E19*(9383/8454)</f>
        <v>34723.981310622192</v>
      </c>
      <c r="D38" s="4">
        <f>(1/3)*(C38+C39+((C38*C39)^0.5))*(A39-A38)</f>
        <v>3472.3981310622271</v>
      </c>
      <c r="E38" s="4">
        <f>E39+D38</f>
        <v>3472.3981310622271</v>
      </c>
      <c r="F38" s="71" t="str">
        <f t="shared" si="4"/>
        <v/>
      </c>
      <c r="G38" s="71" t="str">
        <f t="shared" si="5"/>
        <v/>
      </c>
      <c r="H38" s="26" t="str">
        <f t="shared" si="2"/>
        <v/>
      </c>
      <c r="I38" s="3" t="str">
        <f t="shared" si="3"/>
        <v/>
      </c>
      <c r="J38" s="4" t="str">
        <f t="shared" si="6"/>
        <v/>
      </c>
      <c r="K38" s="4" t="str">
        <f t="shared" si="7"/>
        <v/>
      </c>
      <c r="L38" s="4" t="str">
        <f t="shared" si="8"/>
        <v/>
      </c>
      <c r="M38" s="4" t="str">
        <f t="shared" si="9"/>
        <v/>
      </c>
      <c r="N38" s="72" t="str">
        <f t="shared" si="10"/>
        <v/>
      </c>
      <c r="O38" s="72" t="str">
        <f t="shared" si="11"/>
        <v/>
      </c>
      <c r="P38" s="27" t="str">
        <f t="shared" si="12"/>
        <v/>
      </c>
      <c r="Q38" s="3" t="str">
        <f t="shared" si="13"/>
        <v/>
      </c>
      <c r="R38" s="4" t="str">
        <f t="shared" si="14"/>
        <v/>
      </c>
      <c r="S38" s="4" t="str">
        <f t="shared" si="15"/>
        <v/>
      </c>
      <c r="T38" s="4" t="str">
        <f t="shared" si="16"/>
        <v/>
      </c>
      <c r="U38" s="4" t="str">
        <f t="shared" si="17"/>
        <v/>
      </c>
    </row>
    <row r="39" spans="1:21" x14ac:dyDescent="0.3">
      <c r="A39" s="12">
        <f>'MDEP Bathymetry'!D20</f>
        <v>14.3</v>
      </c>
      <c r="B39" s="12">
        <f t="shared" si="18"/>
        <v>58.083987999999998</v>
      </c>
      <c r="C39" s="67">
        <f>'MDEP Bathymetry'!E20*(9383/8454)</f>
        <v>0</v>
      </c>
      <c r="D39" s="4">
        <v>0</v>
      </c>
      <c r="E39" s="1">
        <v>0</v>
      </c>
      <c r="F39" s="71" t="str">
        <f t="shared" si="4"/>
        <v/>
      </c>
      <c r="G39" s="71" t="str">
        <f t="shared" si="5"/>
        <v/>
      </c>
      <c r="H39" s="26" t="str">
        <f t="shared" si="2"/>
        <v/>
      </c>
      <c r="I39" s="3" t="str">
        <f t="shared" si="3"/>
        <v/>
      </c>
      <c r="J39" s="4" t="str">
        <f t="shared" si="6"/>
        <v/>
      </c>
      <c r="K39" s="4" t="str">
        <f t="shared" si="7"/>
        <v/>
      </c>
      <c r="L39" s="4" t="str">
        <f t="shared" si="8"/>
        <v/>
      </c>
      <c r="M39" s="4" t="str">
        <f t="shared" si="9"/>
        <v/>
      </c>
      <c r="N39" s="72" t="str">
        <f t="shared" si="10"/>
        <v/>
      </c>
      <c r="O39" s="72" t="str">
        <f t="shared" si="11"/>
        <v/>
      </c>
      <c r="P39" s="27" t="str">
        <f t="shared" si="12"/>
        <v/>
      </c>
      <c r="Q39" s="3" t="str">
        <f t="shared" si="13"/>
        <v/>
      </c>
      <c r="R39" s="4" t="str">
        <f t="shared" si="14"/>
        <v/>
      </c>
      <c r="S39" s="4" t="str">
        <f t="shared" si="15"/>
        <v/>
      </c>
      <c r="T39" s="4" t="str">
        <f t="shared" si="16"/>
        <v/>
      </c>
      <c r="U39" s="4" t="str">
        <f t="shared" si="17"/>
        <v/>
      </c>
    </row>
    <row r="41" spans="1:21" ht="15" customHeight="1" x14ac:dyDescent="0.3">
      <c r="A41" s="64" t="s">
        <v>52</v>
      </c>
      <c r="B41" s="64"/>
      <c r="C41" s="64"/>
      <c r="D41" s="64"/>
      <c r="E41" s="64"/>
    </row>
    <row r="42" spans="1:21" x14ac:dyDescent="0.3">
      <c r="A42" s="64"/>
      <c r="B42" s="64"/>
      <c r="C42" s="64"/>
      <c r="D42" s="64"/>
      <c r="E42" s="64"/>
    </row>
    <row r="43" spans="1:21" x14ac:dyDescent="0.3">
      <c r="A43" s="64"/>
      <c r="B43" s="64"/>
      <c r="C43" s="64"/>
      <c r="D43" s="64"/>
      <c r="E43" s="64"/>
    </row>
  </sheetData>
  <mergeCells count="17">
    <mergeCell ref="F21:G21"/>
    <mergeCell ref="H21:M21"/>
    <mergeCell ref="N21:O21"/>
    <mergeCell ref="P21:U21"/>
    <mergeCell ref="A14:B14"/>
    <mergeCell ref="A15:B15"/>
    <mergeCell ref="A17:B17"/>
    <mergeCell ref="A18:B18"/>
    <mergeCell ref="A19:B19"/>
    <mergeCell ref="A21:E21"/>
    <mergeCell ref="A41:E43"/>
    <mergeCell ref="A13:B13"/>
    <mergeCell ref="A1:E1"/>
    <mergeCell ref="A2:E2"/>
    <mergeCell ref="A4:B4"/>
    <mergeCell ref="A5:B5"/>
    <mergeCell ref="A6:B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AB957-A604-4459-8BC1-CC42907D32D5}">
  <dimension ref="A1:U44"/>
  <sheetViews>
    <sheetView topLeftCell="C11" workbookViewId="0">
      <selection activeCell="F22" activeCellId="1" sqref="N23:O39 F22:G40"/>
    </sheetView>
  </sheetViews>
  <sheetFormatPr defaultRowHeight="14.4" x14ac:dyDescent="0.3"/>
  <cols>
    <col min="1" max="5" width="20.6640625" customWidth="1"/>
    <col min="6" max="7" width="6.6640625" style="13" customWidth="1"/>
    <col min="8" max="8" width="18.6640625" style="13" customWidth="1"/>
    <col min="9" max="11" width="18.6640625" style="1" customWidth="1"/>
    <col min="12" max="13" width="18.6640625" customWidth="1"/>
    <col min="14" max="15" width="6.6640625" style="19" customWidth="1"/>
    <col min="16" max="18" width="18.6640625" customWidth="1"/>
    <col min="19" max="20" width="18.6640625" style="1" customWidth="1"/>
    <col min="21" max="21" width="18.6640625" customWidth="1"/>
  </cols>
  <sheetData>
    <row r="1" spans="1:21" ht="21" x14ac:dyDescent="0.4">
      <c r="A1" s="48" t="s">
        <v>43</v>
      </c>
      <c r="B1" s="48"/>
      <c r="C1" s="48"/>
      <c r="D1" s="48"/>
      <c r="E1" s="48"/>
    </row>
    <row r="2" spans="1:21" ht="15.75" customHeight="1" x14ac:dyDescent="0.3">
      <c r="A2" s="68" t="s">
        <v>56</v>
      </c>
      <c r="B2" s="68"/>
      <c r="C2" s="68"/>
      <c r="D2" s="68"/>
      <c r="E2" s="68"/>
      <c r="S2"/>
      <c r="T2"/>
    </row>
    <row r="3" spans="1:21" ht="15.6" x14ac:dyDescent="0.3">
      <c r="A3" s="28"/>
      <c r="B3" s="28"/>
      <c r="C3" s="28"/>
      <c r="D3" s="28"/>
      <c r="E3" s="28"/>
      <c r="S3"/>
      <c r="T3"/>
    </row>
    <row r="4" spans="1:21" ht="15.6" x14ac:dyDescent="0.3">
      <c r="A4" s="53" t="s">
        <v>50</v>
      </c>
      <c r="B4" s="53"/>
      <c r="C4" s="76">
        <v>103</v>
      </c>
      <c r="D4" t="s">
        <v>8</v>
      </c>
      <c r="S4"/>
      <c r="T4"/>
    </row>
    <row r="5" spans="1:21" ht="15.6" x14ac:dyDescent="0.3">
      <c r="A5" s="53" t="s">
        <v>7</v>
      </c>
      <c r="B5" s="53"/>
      <c r="C5" s="62">
        <v>1.77</v>
      </c>
      <c r="D5" t="s">
        <v>13</v>
      </c>
      <c r="S5"/>
      <c r="T5"/>
    </row>
    <row r="6" spans="1:21" ht="15.6" x14ac:dyDescent="0.3">
      <c r="A6" s="53" t="s">
        <v>32</v>
      </c>
      <c r="B6" s="53"/>
      <c r="C6" s="62">
        <v>2.9</v>
      </c>
      <c r="D6" t="s">
        <v>8</v>
      </c>
      <c r="S6"/>
      <c r="T6"/>
    </row>
    <row r="7" spans="1:21" x14ac:dyDescent="0.3">
      <c r="A7" s="9"/>
      <c r="B7" s="9"/>
      <c r="C7" s="11"/>
      <c r="S7"/>
      <c r="T7"/>
    </row>
    <row r="8" spans="1:21" x14ac:dyDescent="0.3">
      <c r="A8" s="9"/>
      <c r="B8" s="9" t="s">
        <v>18</v>
      </c>
      <c r="C8" s="1">
        <f>C5*2</f>
        <v>3.54</v>
      </c>
      <c r="D8" s="16" t="s">
        <v>13</v>
      </c>
      <c r="P8" s="16"/>
      <c r="Q8" s="16"/>
      <c r="U8" s="8"/>
    </row>
    <row r="9" spans="1:21" x14ac:dyDescent="0.3">
      <c r="A9" s="9"/>
      <c r="B9" s="9" t="s">
        <v>10</v>
      </c>
      <c r="C9" s="12">
        <f>C4</f>
        <v>103</v>
      </c>
      <c r="D9" t="s">
        <v>8</v>
      </c>
      <c r="U9" s="8"/>
    </row>
    <row r="10" spans="1:21" x14ac:dyDescent="0.3">
      <c r="A10" s="1"/>
      <c r="B10" s="9" t="s">
        <v>11</v>
      </c>
      <c r="C10" s="12">
        <f>C4-(C8*3.28084)</f>
        <v>91.385826399999999</v>
      </c>
      <c r="D10" t="s">
        <v>8</v>
      </c>
      <c r="F10"/>
      <c r="G10"/>
      <c r="H10"/>
    </row>
    <row r="11" spans="1:21" x14ac:dyDescent="0.3">
      <c r="A11" s="1"/>
      <c r="B11" s="9" t="s">
        <v>33</v>
      </c>
      <c r="C11" s="12">
        <f>C9-C6</f>
        <v>100.1</v>
      </c>
      <c r="D11" t="s">
        <v>8</v>
      </c>
      <c r="F11"/>
      <c r="G11"/>
      <c r="H11"/>
    </row>
    <row r="12" spans="1:21" x14ac:dyDescent="0.3">
      <c r="A12" s="1"/>
      <c r="B12" s="9"/>
      <c r="C12" s="12"/>
      <c r="F12"/>
      <c r="G12"/>
      <c r="H12"/>
    </row>
    <row r="13" spans="1:21" ht="16.2" x14ac:dyDescent="0.3">
      <c r="A13" s="53" t="s">
        <v>28</v>
      </c>
      <c r="B13" s="53"/>
      <c r="C13" s="17">
        <f>MAX(S24:S39)</f>
        <v>12453352.920837333</v>
      </c>
      <c r="D13" t="s">
        <v>19</v>
      </c>
      <c r="F13"/>
      <c r="G13"/>
      <c r="H13"/>
    </row>
    <row r="14" spans="1:21" ht="16.2" x14ac:dyDescent="0.3">
      <c r="A14" s="53" t="s">
        <v>44</v>
      </c>
      <c r="B14" s="53"/>
      <c r="C14" s="17">
        <f>MAX(K24:K39)</f>
        <v>15676211.669133509</v>
      </c>
      <c r="D14" t="s">
        <v>19</v>
      </c>
      <c r="F14"/>
      <c r="G14"/>
      <c r="H14"/>
    </row>
    <row r="15" spans="1:21" ht="15.6" x14ac:dyDescent="0.3">
      <c r="A15" s="54" t="s">
        <v>29</v>
      </c>
      <c r="B15" s="54"/>
      <c r="C15" s="44">
        <f>(C13/C14)*100</f>
        <v>79.441086811541396</v>
      </c>
      <c r="D15" s="18"/>
      <c r="F15"/>
      <c r="G15"/>
      <c r="H15"/>
    </row>
    <row r="16" spans="1:21" x14ac:dyDescent="0.3">
      <c r="A16" s="1"/>
      <c r="B16" s="9"/>
      <c r="C16" s="12"/>
      <c r="F16"/>
      <c r="G16"/>
      <c r="H16"/>
    </row>
    <row r="17" spans="1:21" ht="16.2" x14ac:dyDescent="0.3">
      <c r="A17" s="53" t="s">
        <v>30</v>
      </c>
      <c r="B17" s="53"/>
      <c r="C17" s="17">
        <f>MAX(U24:U39)</f>
        <v>59759897.832534924</v>
      </c>
      <c r="D17" t="s">
        <v>20</v>
      </c>
      <c r="F17"/>
      <c r="G17"/>
      <c r="H17"/>
    </row>
    <row r="18" spans="1:21" ht="16.2" x14ac:dyDescent="0.3">
      <c r="A18" s="53" t="s">
        <v>45</v>
      </c>
      <c r="B18" s="53"/>
      <c r="C18" s="17">
        <f>MAX(M24:M39)</f>
        <v>85503585.133335829</v>
      </c>
      <c r="D18" t="s">
        <v>20</v>
      </c>
      <c r="F18"/>
      <c r="G18"/>
      <c r="H18"/>
    </row>
    <row r="19" spans="1:21" ht="15.6" x14ac:dyDescent="0.3">
      <c r="A19" s="54" t="s">
        <v>31</v>
      </c>
      <c r="B19" s="54"/>
      <c r="C19" s="46">
        <f>(C17/C18)*100</f>
        <v>69.891686692837808</v>
      </c>
      <c r="D19" s="18"/>
      <c r="F19"/>
      <c r="G19"/>
      <c r="H19"/>
    </row>
    <row r="20" spans="1:21" x14ac:dyDescent="0.3">
      <c r="F20"/>
      <c r="G20"/>
      <c r="H20"/>
      <c r="L20" s="1"/>
      <c r="M20" s="10"/>
      <c r="N20" s="20"/>
      <c r="O20" s="20"/>
      <c r="P20" s="10"/>
      <c r="Q20" s="10"/>
    </row>
    <row r="21" spans="1:21" ht="18" x14ac:dyDescent="0.35">
      <c r="A21" s="50" t="s">
        <v>6</v>
      </c>
      <c r="B21" s="50"/>
      <c r="C21" s="50"/>
      <c r="D21" s="50"/>
      <c r="E21" s="50"/>
      <c r="F21" s="60" t="s">
        <v>26</v>
      </c>
      <c r="G21" s="61"/>
      <c r="H21" s="50" t="s">
        <v>14</v>
      </c>
      <c r="I21" s="50"/>
      <c r="J21" s="50"/>
      <c r="K21" s="50"/>
      <c r="L21" s="50"/>
      <c r="M21" s="50"/>
      <c r="N21" s="60" t="s">
        <v>26</v>
      </c>
      <c r="O21" s="52"/>
      <c r="P21" s="50" t="s">
        <v>27</v>
      </c>
      <c r="Q21" s="50"/>
      <c r="R21" s="50"/>
      <c r="S21" s="50"/>
      <c r="T21" s="50"/>
      <c r="U21" s="50"/>
    </row>
    <row r="22" spans="1:21" x14ac:dyDescent="0.3">
      <c r="A22" s="5" t="s">
        <v>0</v>
      </c>
      <c r="B22" s="5" t="s">
        <v>12</v>
      </c>
      <c r="C22" s="6" t="s">
        <v>4</v>
      </c>
      <c r="D22" s="6" t="s">
        <v>2</v>
      </c>
      <c r="E22" s="7" t="s">
        <v>23</v>
      </c>
      <c r="F22" s="70" t="s">
        <v>15</v>
      </c>
      <c r="G22" s="70" t="s">
        <v>16</v>
      </c>
      <c r="H22" s="15" t="s">
        <v>0</v>
      </c>
      <c r="I22" s="7" t="s">
        <v>12</v>
      </c>
      <c r="J22" s="7" t="s">
        <v>4</v>
      </c>
      <c r="K22" s="7" t="s">
        <v>24</v>
      </c>
      <c r="L22" s="7" t="s">
        <v>2</v>
      </c>
      <c r="M22" s="7" t="s">
        <v>25</v>
      </c>
      <c r="N22" s="59" t="s">
        <v>15</v>
      </c>
      <c r="O22" s="59" t="s">
        <v>16</v>
      </c>
      <c r="P22" s="7" t="s">
        <v>0</v>
      </c>
      <c r="Q22" s="7" t="s">
        <v>12</v>
      </c>
      <c r="R22" s="15" t="s">
        <v>4</v>
      </c>
      <c r="S22" s="15" t="s">
        <v>24</v>
      </c>
      <c r="T22" s="15" t="s">
        <v>2</v>
      </c>
      <c r="U22" s="15" t="s">
        <v>25</v>
      </c>
    </row>
    <row r="23" spans="1:21" ht="16.2" x14ac:dyDescent="0.3">
      <c r="A23" s="2" t="s">
        <v>5</v>
      </c>
      <c r="B23" s="2" t="s">
        <v>9</v>
      </c>
      <c r="C23" s="3" t="s">
        <v>3</v>
      </c>
      <c r="D23" s="3" t="s">
        <v>1</v>
      </c>
      <c r="E23" s="1" t="s">
        <v>1</v>
      </c>
      <c r="F23" s="70" t="s">
        <v>17</v>
      </c>
      <c r="G23" s="70" t="s">
        <v>17</v>
      </c>
      <c r="H23" s="14" t="s">
        <v>5</v>
      </c>
      <c r="I23" s="1" t="s">
        <v>9</v>
      </c>
      <c r="J23" s="1" t="s">
        <v>3</v>
      </c>
      <c r="K23" s="1" t="s">
        <v>3</v>
      </c>
      <c r="L23" s="1" t="s">
        <v>1</v>
      </c>
      <c r="M23" s="1" t="s">
        <v>1</v>
      </c>
      <c r="N23" s="70" t="s">
        <v>17</v>
      </c>
      <c r="O23" s="70" t="s">
        <v>17</v>
      </c>
      <c r="P23" s="1" t="s">
        <v>5</v>
      </c>
      <c r="Q23" s="1" t="s">
        <v>9</v>
      </c>
      <c r="R23" s="14" t="s">
        <v>21</v>
      </c>
      <c r="S23" s="14" t="s">
        <v>21</v>
      </c>
      <c r="T23" s="14" t="s">
        <v>22</v>
      </c>
      <c r="U23" s="14" t="s">
        <v>22</v>
      </c>
    </row>
    <row r="24" spans="1:21" x14ac:dyDescent="0.3">
      <c r="A24" s="69">
        <f>'MDEP Bathymetry'!D5</f>
        <v>0</v>
      </c>
      <c r="B24" s="63">
        <v>105</v>
      </c>
      <c r="C24" s="67">
        <f>'MDEP Bathymetry'!E5*(9383/8454)</f>
        <v>37970785.66193518</v>
      </c>
      <c r="D24" s="4">
        <f>(1/3)*(C24+C25+((C24*C25)^0.5))*(A25-A24)</f>
        <v>32986737.454846986</v>
      </c>
      <c r="E24" s="4">
        <f t="shared" ref="E24:E38" si="0">E25+D24</f>
        <v>167451402.56376278</v>
      </c>
      <c r="F24" s="71">
        <f>IF($C$9=B24,B24, IF($C$9&lt;B24,IF($C$9&gt;B25,$C$9,""),""))</f>
        <v>103</v>
      </c>
      <c r="G24" s="71" t="str">
        <f>IF(B24&gt;$C$10,"",IF(B24=$C$10,$C$10,IF(B24&lt;$C$10,IF(B23&gt;$C$10,$C$10,""),"")))</f>
        <v/>
      </c>
      <c r="H24" s="26">
        <f t="shared" ref="H24:H39" si="1">IF(I24="","",($C$9-I24)/3.28084)</f>
        <v>0</v>
      </c>
      <c r="I24" s="3">
        <f t="shared" ref="I24:I39" si="2">IF(F24=$C$9,F24, IF(G24=$C$10,G24,IF(B24&gt;$C$10,IF(B24&lt;$C$9,B24,""),"")))</f>
        <v>103</v>
      </c>
      <c r="J24" s="4">
        <f>IF(I24=B24,C25,IF(I24=$C$9,((((I24-I25)/(B24-I25))*(C25-J25))+J25),IF(I24=$C$10,((((I24-B24)/(B23-B24))*(C23-C25))+C25),"")))</f>
        <v>30997114</v>
      </c>
      <c r="K24" s="4">
        <f>IF(J24="","",J24-(MIN($J$24:$J$39)))</f>
        <v>15676211.669133509</v>
      </c>
      <c r="L24" s="4">
        <f>IF(I24="","",IF(I24=$C$10,0,((1/3)*(J24+J25+((J24*J25)^0.5))*(H25-H24))))</f>
        <v>9201909.304080626</v>
      </c>
      <c r="M24" s="4">
        <f>IF(L24="","",IF(L24=0,0,(M25+L24)))</f>
        <v>85503585.133335829</v>
      </c>
      <c r="N24" s="72" t="str">
        <f>IF(I24="","",IF($C$11&lt;I24,IF($C$11&gt;I25,$C$11,""),""))</f>
        <v/>
      </c>
      <c r="O24" s="72" t="str">
        <f>G24</f>
        <v/>
      </c>
      <c r="P24" s="27" t="str">
        <f>IF(Q24="","",(($C$11-Q24)/3.28084))</f>
        <v/>
      </c>
      <c r="Q24" s="3" t="str">
        <f>IF(N24=$C$11, $C$11,IF(I24&gt;$C$11,"",I24))</f>
        <v/>
      </c>
      <c r="R24" s="4" t="str">
        <f>IF(Q24="","",IF(Q24=$C$11,((((Q24-Q25)/(I24-Q25))*(J24-J25))+J25),J24))</f>
        <v/>
      </c>
      <c r="S24" s="4" t="str">
        <f>IF(R24="","",R24-MIN($R$24:$R$39))</f>
        <v/>
      </c>
      <c r="T24" s="4" t="str">
        <f>IF(Q24="","",IF(I24=$C$10,0,((1/3)*(R24+R25+((R24*R25)^0.5))*(P25-P24))))</f>
        <v/>
      </c>
      <c r="U24" s="4" t="str">
        <f>IF(T24="","",IF(T24=0,0,(U25+T24)))</f>
        <v/>
      </c>
    </row>
    <row r="25" spans="1:21" x14ac:dyDescent="0.3">
      <c r="A25" s="12">
        <f>(B24-B25)/3.28084</f>
        <v>0.91439997073920098</v>
      </c>
      <c r="B25" s="12">
        <v>102</v>
      </c>
      <c r="C25" s="17">
        <f>'MDEP Bathymetry'!E5</f>
        <v>34211342</v>
      </c>
      <c r="D25" s="4">
        <f>(1/3)*(C25+C26+((C25*C26)^0.5))*(A26-A25)</f>
        <v>31770170.032208223</v>
      </c>
      <c r="E25" s="4">
        <f t="shared" si="0"/>
        <v>134464665.10891581</v>
      </c>
      <c r="F25" s="71" t="str">
        <f t="shared" ref="F25:F39" si="3">IF($C$9=B25,B25, IF($C$9&lt;B25,IF($C$9&gt;B26,$C$9,""),""))</f>
        <v/>
      </c>
      <c r="G25" s="71" t="str">
        <f t="shared" ref="G25:G39" si="4">IF(B25&gt;$C$10,"",IF(B25=$C$10,$C$10,IF(B25&lt;$C$10,IF(B24&gt;$C$10,$C$10,""),"")))</f>
        <v/>
      </c>
      <c r="H25" s="26">
        <f t="shared" si="1"/>
        <v>0.30479999024640031</v>
      </c>
      <c r="I25" s="3">
        <f t="shared" si="2"/>
        <v>102</v>
      </c>
      <c r="J25" s="4">
        <f t="shared" ref="J25:J40" si="5">IF(I25=B25,C26,IF(I25=$C$9,((((I25-I26)/(B25-I26))*(C26-J26))+J26),IF(I25=$C$10,((((I25-B25)/(B24-B25))*(C25-C26))+C26),"")))</f>
        <v>29390000</v>
      </c>
      <c r="K25" s="4">
        <f t="shared" ref="K25:K39" si="6">IF(J25="","",J25-(MIN($J$24:$J$39)))</f>
        <v>14069097.669133509</v>
      </c>
      <c r="L25" s="4">
        <f t="shared" ref="L25:L39" si="7">IF(I25="","",IF(I25=$C$10,0,((1/3)*(J25+J26+((J25*J26)^0.5))*(H26-H25))))</f>
        <v>27983407.248157043</v>
      </c>
      <c r="M25" s="4">
        <f t="shared" ref="M25:M39" si="8">IF(L25="","",IF(L25=0,0,(M26+L25)))</f>
        <v>76301675.829255208</v>
      </c>
      <c r="N25" s="72">
        <f t="shared" ref="N25:N39" si="9">IF(I25="","",IF($C$11&lt;I25,IF($C$11&gt;I26,$C$11,""),""))</f>
        <v>100.1</v>
      </c>
      <c r="O25" s="72" t="str">
        <f t="shared" ref="O25:O39" si="10">G25</f>
        <v/>
      </c>
      <c r="P25" s="27">
        <f t="shared" ref="P25:P39" si="11">IF(Q25="","",(($C$11-Q25)/3.28084))</f>
        <v>0</v>
      </c>
      <c r="Q25" s="3">
        <f t="shared" ref="Q25:Q39" si="12">IF(N25=$C$11, $C$11,IF(I25&gt;$C$11,"",I25))</f>
        <v>100.1</v>
      </c>
      <c r="R25" s="4">
        <f t="shared" ref="R25:R39" si="13">IF(Q25="","",IF(Q25=$C$11,((((Q25-Q26)/(I25-Q26))*(J25-J26))+J26),J25))</f>
        <v>27774255.251703825</v>
      </c>
      <c r="S25" s="4">
        <f t="shared" ref="S25:S39" si="14">IF(R25="","",R25-MIN($R$24:$R$39))</f>
        <v>12453352.920837333</v>
      </c>
      <c r="T25" s="4">
        <f t="shared" ref="T25:T39" si="15">IF(Q25="","",IF(I25=$C$10,0,((1/3)*(R25+R26+((R25*R26)^0.5))*(P26-P25))))</f>
        <v>11441629.251436751</v>
      </c>
      <c r="U25" s="4">
        <f t="shared" ref="U25:U39" si="16">IF(T25="","",IF(T25=0,0,(U26+T25)))</f>
        <v>59759897.832534924</v>
      </c>
    </row>
    <row r="26" spans="1:21" x14ac:dyDescent="0.3">
      <c r="A26" s="12">
        <f>$A$25+'MDEP Bathymetry'!D6</f>
        <v>1.914399970739201</v>
      </c>
      <c r="B26" s="12">
        <f t="shared" ref="B26:B40" si="17">$B$24-(A26*3.28084)</f>
        <v>98.719160000000002</v>
      </c>
      <c r="C26" s="17">
        <f>'MDEP Bathymetry'!E6</f>
        <v>29390000</v>
      </c>
      <c r="D26" s="4">
        <f t="shared" ref="D26:D40" si="18">(1/3)*(C26+C27+((C26*C27)^0.5))*(A27-A26)</f>
        <v>27983407.248157062</v>
      </c>
      <c r="E26" s="4">
        <f t="shared" si="0"/>
        <v>102694495.07670757</v>
      </c>
      <c r="F26" s="71" t="str">
        <f t="shared" si="3"/>
        <v/>
      </c>
      <c r="G26" s="71" t="str">
        <f t="shared" si="4"/>
        <v/>
      </c>
      <c r="H26" s="26">
        <f t="shared" si="1"/>
        <v>1.3047999902463996</v>
      </c>
      <c r="I26" s="3">
        <f t="shared" si="2"/>
        <v>98.719160000000002</v>
      </c>
      <c r="J26" s="4">
        <f t="shared" si="5"/>
        <v>26600000</v>
      </c>
      <c r="K26" s="4">
        <f t="shared" si="6"/>
        <v>11279097.669133509</v>
      </c>
      <c r="L26" s="4">
        <f t="shared" si="7"/>
        <v>24686982.404741582</v>
      </c>
      <c r="M26" s="4">
        <f t="shared" si="8"/>
        <v>48318268.581098169</v>
      </c>
      <c r="N26" s="72" t="str">
        <f t="shared" si="9"/>
        <v/>
      </c>
      <c r="O26" s="72" t="str">
        <f t="shared" si="10"/>
        <v/>
      </c>
      <c r="P26" s="27">
        <f t="shared" si="11"/>
        <v>0.42088001853183699</v>
      </c>
      <c r="Q26" s="3">
        <f t="shared" si="12"/>
        <v>98.719160000000002</v>
      </c>
      <c r="R26" s="4">
        <f t="shared" si="13"/>
        <v>26600000</v>
      </c>
      <c r="S26" s="4">
        <f t="shared" si="14"/>
        <v>11279097.669133509</v>
      </c>
      <c r="T26" s="4">
        <f t="shared" si="15"/>
        <v>24686982.404741574</v>
      </c>
      <c r="U26" s="4">
        <f t="shared" si="16"/>
        <v>48318268.581098169</v>
      </c>
    </row>
    <row r="27" spans="1:21" x14ac:dyDescent="0.3">
      <c r="A27" s="12">
        <f>$A$25+'MDEP Bathymetry'!D7</f>
        <v>2.914399970739201</v>
      </c>
      <c r="B27" s="12">
        <f t="shared" si="17"/>
        <v>95.438320000000004</v>
      </c>
      <c r="C27" s="17">
        <f>'MDEP Bathymetry'!E7</f>
        <v>26600000</v>
      </c>
      <c r="D27" s="4">
        <f t="shared" si="18"/>
        <v>24686982.404741593</v>
      </c>
      <c r="E27" s="4">
        <f t="shared" si="0"/>
        <v>74711087.828550518</v>
      </c>
      <c r="F27" s="71" t="str">
        <f t="shared" si="3"/>
        <v/>
      </c>
      <c r="G27" s="71" t="str">
        <f t="shared" si="4"/>
        <v/>
      </c>
      <c r="H27" s="26">
        <f t="shared" si="1"/>
        <v>2.3047999902463991</v>
      </c>
      <c r="I27" s="3">
        <f t="shared" si="2"/>
        <v>95.438320000000004</v>
      </c>
      <c r="J27" s="4">
        <f t="shared" si="5"/>
        <v>22822165</v>
      </c>
      <c r="K27" s="4">
        <f t="shared" si="6"/>
        <v>7501262.6691335086</v>
      </c>
      <c r="L27" s="4">
        <f t="shared" si="7"/>
        <v>19833446.222192723</v>
      </c>
      <c r="M27" s="4">
        <f t="shared" si="8"/>
        <v>23631286.176356588</v>
      </c>
      <c r="N27" s="72" t="str">
        <f t="shared" si="9"/>
        <v/>
      </c>
      <c r="O27" s="72" t="str">
        <f t="shared" si="10"/>
        <v/>
      </c>
      <c r="P27" s="27">
        <f t="shared" si="11"/>
        <v>1.4208800185318362</v>
      </c>
      <c r="Q27" s="3">
        <f t="shared" si="12"/>
        <v>95.438320000000004</v>
      </c>
      <c r="R27" s="4">
        <f t="shared" si="13"/>
        <v>22822165</v>
      </c>
      <c r="S27" s="4">
        <f t="shared" si="14"/>
        <v>7501262.6691335086</v>
      </c>
      <c r="T27" s="4">
        <f t="shared" si="15"/>
        <v>19833446.222192727</v>
      </c>
      <c r="U27" s="4">
        <f t="shared" si="16"/>
        <v>23631286.176356591</v>
      </c>
    </row>
    <row r="28" spans="1:21" x14ac:dyDescent="0.3">
      <c r="A28" s="12">
        <f>$A$25+'MDEP Bathymetry'!D8</f>
        <v>3.914399970739201</v>
      </c>
      <c r="B28" s="12">
        <f t="shared" si="17"/>
        <v>92.157479999999993</v>
      </c>
      <c r="C28" s="17">
        <f>'MDEP Bathymetry'!E8</f>
        <v>22822165</v>
      </c>
      <c r="D28" s="4">
        <f t="shared" si="18"/>
        <v>19833446.222192645</v>
      </c>
      <c r="E28" s="4">
        <f t="shared" si="0"/>
        <v>50024105.423808932</v>
      </c>
      <c r="F28" s="71" t="str">
        <f t="shared" si="3"/>
        <v/>
      </c>
      <c r="G28" s="71" t="str">
        <f t="shared" si="4"/>
        <v/>
      </c>
      <c r="H28" s="26">
        <f t="shared" si="1"/>
        <v>3.3047999902464027</v>
      </c>
      <c r="I28" s="3">
        <f t="shared" si="2"/>
        <v>92.157479999999993</v>
      </c>
      <c r="J28" s="4">
        <f t="shared" si="5"/>
        <v>16988000</v>
      </c>
      <c r="K28" s="4">
        <f t="shared" si="6"/>
        <v>1667097.6691335086</v>
      </c>
      <c r="L28" s="4">
        <f t="shared" si="7"/>
        <v>3797839.9541638657</v>
      </c>
      <c r="M28" s="4">
        <f t="shared" si="8"/>
        <v>3797839.9541638657</v>
      </c>
      <c r="N28" s="72" t="str">
        <f t="shared" si="9"/>
        <v/>
      </c>
      <c r="O28" s="72" t="str">
        <f t="shared" si="10"/>
        <v/>
      </c>
      <c r="P28" s="27">
        <f t="shared" si="11"/>
        <v>2.42088001853184</v>
      </c>
      <c r="Q28" s="3">
        <f t="shared" si="12"/>
        <v>92.157479999999993</v>
      </c>
      <c r="R28" s="4">
        <f t="shared" si="13"/>
        <v>16988000</v>
      </c>
      <c r="S28" s="4">
        <f t="shared" si="14"/>
        <v>1667097.6691335086</v>
      </c>
      <c r="T28" s="4">
        <f t="shared" si="15"/>
        <v>3797839.9541638657</v>
      </c>
      <c r="U28" s="4">
        <f t="shared" si="16"/>
        <v>3797839.9541638657</v>
      </c>
    </row>
    <row r="29" spans="1:21" x14ac:dyDescent="0.3">
      <c r="A29" s="12">
        <f>$A$25+'MDEP Bathymetry'!D9</f>
        <v>4.9143999707392005</v>
      </c>
      <c r="B29" s="12">
        <f t="shared" si="17"/>
        <v>88.876640000000009</v>
      </c>
      <c r="C29" s="17">
        <f>'MDEP Bathymetry'!E9</f>
        <v>16988000</v>
      </c>
      <c r="D29" s="4">
        <f t="shared" si="18"/>
        <v>13285489.818265632</v>
      </c>
      <c r="E29" s="4">
        <f t="shared" si="0"/>
        <v>30190659.201616284</v>
      </c>
      <c r="F29" s="71" t="str">
        <f t="shared" si="3"/>
        <v/>
      </c>
      <c r="G29" s="71">
        <f t="shared" si="4"/>
        <v>91.385826399999999</v>
      </c>
      <c r="H29" s="26">
        <f t="shared" si="1"/>
        <v>3.5400000000000005</v>
      </c>
      <c r="I29" s="3">
        <f t="shared" si="2"/>
        <v>91.385826399999999</v>
      </c>
      <c r="J29" s="4">
        <f>IF(I29=B29,C30,IF(I29=$C$9,((((I29-I30)/(B29-I30))*(C30-J30))+J30),IF(I29=$C$10,((((I29-B29)/(B28-B29))*(C29-C30))+C30),"")))</f>
        <v>15320902.330866491</v>
      </c>
      <c r="K29" s="4">
        <f t="shared" si="6"/>
        <v>0</v>
      </c>
      <c r="L29" s="4">
        <f t="shared" si="7"/>
        <v>0</v>
      </c>
      <c r="M29" s="4">
        <f t="shared" si="8"/>
        <v>0</v>
      </c>
      <c r="N29" s="72" t="str">
        <f t="shared" si="9"/>
        <v/>
      </c>
      <c r="O29" s="72">
        <f t="shared" si="10"/>
        <v>91.385826399999999</v>
      </c>
      <c r="P29" s="27">
        <f t="shared" si="11"/>
        <v>2.6560800282854378</v>
      </c>
      <c r="Q29" s="3">
        <f t="shared" si="12"/>
        <v>91.385826399999999</v>
      </c>
      <c r="R29" s="4">
        <f t="shared" si="13"/>
        <v>15320902.330866491</v>
      </c>
      <c r="S29" s="4">
        <f t="shared" si="14"/>
        <v>0</v>
      </c>
      <c r="T29" s="4">
        <f t="shared" si="15"/>
        <v>0</v>
      </c>
      <c r="U29" s="4">
        <f t="shared" si="16"/>
        <v>0</v>
      </c>
    </row>
    <row r="30" spans="1:21" x14ac:dyDescent="0.3">
      <c r="A30" s="12">
        <f>$A$25+'MDEP Bathymetry'!D10</f>
        <v>5.9143999707392005</v>
      </c>
      <c r="B30" s="12">
        <f t="shared" si="17"/>
        <v>85.595799999999997</v>
      </c>
      <c r="C30" s="17">
        <f>'MDEP Bathymetry'!E10</f>
        <v>9900000</v>
      </c>
      <c r="D30" s="4">
        <f t="shared" si="18"/>
        <v>7286525.9610000271</v>
      </c>
      <c r="E30" s="4">
        <f t="shared" si="0"/>
        <v>16905169.383350652</v>
      </c>
      <c r="F30" s="71" t="str">
        <f t="shared" si="3"/>
        <v/>
      </c>
      <c r="G30" s="71" t="str">
        <f t="shared" si="4"/>
        <v/>
      </c>
      <c r="H30" s="26" t="str">
        <f t="shared" si="1"/>
        <v/>
      </c>
      <c r="I30" s="3" t="str">
        <f t="shared" si="2"/>
        <v/>
      </c>
      <c r="J30" s="4" t="str">
        <f t="shared" si="5"/>
        <v/>
      </c>
      <c r="K30" s="4" t="str">
        <f t="shared" si="6"/>
        <v/>
      </c>
      <c r="L30" s="4" t="str">
        <f t="shared" si="7"/>
        <v/>
      </c>
      <c r="M30" s="4" t="str">
        <f t="shared" si="8"/>
        <v/>
      </c>
      <c r="N30" s="72" t="str">
        <f t="shared" si="9"/>
        <v/>
      </c>
      <c r="O30" s="72" t="str">
        <f t="shared" si="10"/>
        <v/>
      </c>
      <c r="P30" s="27" t="str">
        <f t="shared" si="11"/>
        <v/>
      </c>
      <c r="Q30" s="3" t="str">
        <f t="shared" si="12"/>
        <v/>
      </c>
      <c r="R30" s="4" t="str">
        <f t="shared" si="13"/>
        <v/>
      </c>
      <c r="S30" s="4" t="str">
        <f t="shared" si="14"/>
        <v/>
      </c>
      <c r="T30" s="4" t="str">
        <f t="shared" si="15"/>
        <v/>
      </c>
      <c r="U30" s="4" t="str">
        <f t="shared" si="16"/>
        <v/>
      </c>
    </row>
    <row r="31" spans="1:21" x14ac:dyDescent="0.3">
      <c r="A31" s="12">
        <f>$A$25+'MDEP Bathymetry'!D11</f>
        <v>6.9143999707392005</v>
      </c>
      <c r="B31" s="12">
        <f t="shared" si="17"/>
        <v>82.314959999999999</v>
      </c>
      <c r="C31" s="17">
        <f>'MDEP Bathymetry'!E11</f>
        <v>4955402</v>
      </c>
      <c r="D31" s="4">
        <f t="shared" si="18"/>
        <v>4254402.8929440062</v>
      </c>
      <c r="E31" s="4">
        <f t="shared" si="0"/>
        <v>9618643.4223506246</v>
      </c>
      <c r="F31" s="71" t="str">
        <f t="shared" si="3"/>
        <v/>
      </c>
      <c r="G31" s="71" t="str">
        <f t="shared" si="4"/>
        <v/>
      </c>
      <c r="H31" s="26" t="str">
        <f t="shared" si="1"/>
        <v/>
      </c>
      <c r="I31" s="3" t="str">
        <f t="shared" si="2"/>
        <v/>
      </c>
      <c r="J31" s="4" t="str">
        <f t="shared" si="5"/>
        <v/>
      </c>
      <c r="K31" s="4" t="str">
        <f t="shared" si="6"/>
        <v/>
      </c>
      <c r="L31" s="4" t="str">
        <f t="shared" si="7"/>
        <v/>
      </c>
      <c r="M31" s="4" t="str">
        <f t="shared" si="8"/>
        <v/>
      </c>
      <c r="N31" s="72" t="str">
        <f t="shared" si="9"/>
        <v/>
      </c>
      <c r="O31" s="72" t="str">
        <f t="shared" si="10"/>
        <v/>
      </c>
      <c r="P31" s="27" t="str">
        <f t="shared" si="11"/>
        <v/>
      </c>
      <c r="Q31" s="3" t="str">
        <f t="shared" si="12"/>
        <v/>
      </c>
      <c r="R31" s="4" t="str">
        <f t="shared" si="13"/>
        <v/>
      </c>
      <c r="S31" s="4" t="str">
        <f t="shared" si="14"/>
        <v/>
      </c>
      <c r="T31" s="4" t="str">
        <f t="shared" si="15"/>
        <v/>
      </c>
      <c r="U31" s="4" t="str">
        <f t="shared" si="16"/>
        <v/>
      </c>
    </row>
    <row r="32" spans="1:21" x14ac:dyDescent="0.3">
      <c r="A32" s="12">
        <f>$A$25+'MDEP Bathymetry'!D12</f>
        <v>7.9143999707392005</v>
      </c>
      <c r="B32" s="12">
        <f t="shared" si="17"/>
        <v>79.034120000000001</v>
      </c>
      <c r="C32" s="17">
        <f>'MDEP Bathymetry'!E12</f>
        <v>3590000</v>
      </c>
      <c r="D32" s="4">
        <f t="shared" si="18"/>
        <v>2789816.1578320167</v>
      </c>
      <c r="E32" s="4">
        <f t="shared" si="0"/>
        <v>5364240.5294066183</v>
      </c>
      <c r="F32" s="71" t="str">
        <f t="shared" si="3"/>
        <v/>
      </c>
      <c r="G32" s="71" t="str">
        <f t="shared" si="4"/>
        <v/>
      </c>
      <c r="H32" s="26" t="str">
        <f t="shared" si="1"/>
        <v/>
      </c>
      <c r="I32" s="3" t="str">
        <f t="shared" si="2"/>
        <v/>
      </c>
      <c r="J32" s="4" t="str">
        <f t="shared" si="5"/>
        <v/>
      </c>
      <c r="K32" s="4" t="str">
        <f t="shared" si="6"/>
        <v/>
      </c>
      <c r="L32" s="4" t="str">
        <f t="shared" si="7"/>
        <v/>
      </c>
      <c r="M32" s="4" t="str">
        <f t="shared" si="8"/>
        <v/>
      </c>
      <c r="N32" s="72" t="str">
        <f t="shared" si="9"/>
        <v/>
      </c>
      <c r="O32" s="72" t="str">
        <f t="shared" si="10"/>
        <v/>
      </c>
      <c r="P32" s="27" t="str">
        <f t="shared" si="11"/>
        <v/>
      </c>
      <c r="Q32" s="3" t="str">
        <f t="shared" si="12"/>
        <v/>
      </c>
      <c r="R32" s="4" t="str">
        <f t="shared" si="13"/>
        <v/>
      </c>
      <c r="S32" s="4" t="str">
        <f t="shared" si="14"/>
        <v/>
      </c>
      <c r="T32" s="4" t="str">
        <f t="shared" si="15"/>
        <v/>
      </c>
      <c r="U32" s="4" t="str">
        <f t="shared" si="16"/>
        <v/>
      </c>
    </row>
    <row r="33" spans="1:21" x14ac:dyDescent="0.3">
      <c r="A33" s="12">
        <f>$A$25+'MDEP Bathymetry'!D13</f>
        <v>8.9143999707392005</v>
      </c>
      <c r="B33" s="12">
        <f t="shared" si="17"/>
        <v>75.753280000000004</v>
      </c>
      <c r="C33" s="17">
        <f>'MDEP Bathymetry'!E13</f>
        <v>2060000</v>
      </c>
      <c r="D33" s="4">
        <f t="shared" si="18"/>
        <v>1205949.3430791167</v>
      </c>
      <c r="E33" s="4">
        <f t="shared" si="0"/>
        <v>2574424.3715746012</v>
      </c>
      <c r="F33" s="71" t="str">
        <f t="shared" si="3"/>
        <v/>
      </c>
      <c r="G33" s="71" t="str">
        <f t="shared" si="4"/>
        <v/>
      </c>
      <c r="H33" s="26" t="str">
        <f t="shared" si="1"/>
        <v/>
      </c>
      <c r="I33" s="3" t="str">
        <f t="shared" si="2"/>
        <v/>
      </c>
      <c r="J33" s="4" t="str">
        <f t="shared" si="5"/>
        <v/>
      </c>
      <c r="K33" s="4" t="str">
        <f t="shared" si="6"/>
        <v/>
      </c>
      <c r="L33" s="4" t="str">
        <f t="shared" si="7"/>
        <v/>
      </c>
      <c r="M33" s="4" t="str">
        <f t="shared" si="8"/>
        <v/>
      </c>
      <c r="N33" s="72" t="str">
        <f t="shared" si="9"/>
        <v/>
      </c>
      <c r="O33" s="72" t="str">
        <f t="shared" si="10"/>
        <v/>
      </c>
      <c r="P33" s="27" t="str">
        <f t="shared" si="11"/>
        <v/>
      </c>
      <c r="Q33" s="3" t="str">
        <f t="shared" si="12"/>
        <v/>
      </c>
      <c r="R33" s="4" t="str">
        <f t="shared" si="13"/>
        <v/>
      </c>
      <c r="S33" s="4" t="str">
        <f t="shared" si="14"/>
        <v/>
      </c>
      <c r="T33" s="4" t="str">
        <f t="shared" si="15"/>
        <v/>
      </c>
      <c r="U33" s="4" t="str">
        <f t="shared" si="16"/>
        <v/>
      </c>
    </row>
    <row r="34" spans="1:21" x14ac:dyDescent="0.3">
      <c r="A34" s="12">
        <f>$A$25+'MDEP Bathymetry'!D14</f>
        <v>9.9143999707392005</v>
      </c>
      <c r="B34" s="12">
        <f t="shared" si="17"/>
        <v>72.472440000000006</v>
      </c>
      <c r="C34" s="17">
        <f>'MDEP Bathymetry'!E14</f>
        <v>521434</v>
      </c>
      <c r="D34" s="4">
        <f t="shared" si="18"/>
        <v>471028.43333330133</v>
      </c>
      <c r="E34" s="4">
        <f t="shared" si="0"/>
        <v>1368475.0284954845</v>
      </c>
      <c r="F34" s="71" t="str">
        <f t="shared" si="3"/>
        <v/>
      </c>
      <c r="G34" s="71" t="str">
        <f t="shared" si="4"/>
        <v/>
      </c>
      <c r="H34" s="26" t="str">
        <f t="shared" si="1"/>
        <v/>
      </c>
      <c r="I34" s="3" t="str">
        <f t="shared" si="2"/>
        <v/>
      </c>
      <c r="J34" s="4" t="str">
        <f t="shared" si="5"/>
        <v/>
      </c>
      <c r="K34" s="4" t="str">
        <f t="shared" si="6"/>
        <v/>
      </c>
      <c r="L34" s="4" t="str">
        <f t="shared" si="7"/>
        <v/>
      </c>
      <c r="M34" s="4" t="str">
        <f t="shared" si="8"/>
        <v/>
      </c>
      <c r="N34" s="72" t="str">
        <f t="shared" si="9"/>
        <v/>
      </c>
      <c r="O34" s="72" t="str">
        <f t="shared" si="10"/>
        <v/>
      </c>
      <c r="P34" s="27" t="str">
        <f t="shared" si="11"/>
        <v/>
      </c>
      <c r="Q34" s="3" t="str">
        <f t="shared" si="12"/>
        <v/>
      </c>
      <c r="R34" s="4" t="str">
        <f t="shared" si="13"/>
        <v/>
      </c>
      <c r="S34" s="4" t="str">
        <f t="shared" si="14"/>
        <v/>
      </c>
      <c r="T34" s="4" t="str">
        <f t="shared" si="15"/>
        <v/>
      </c>
      <c r="U34" s="4" t="str">
        <f t="shared" si="16"/>
        <v/>
      </c>
    </row>
    <row r="35" spans="1:21" x14ac:dyDescent="0.3">
      <c r="A35" s="12">
        <f>$A$25+'MDEP Bathymetry'!D15</f>
        <v>10.914399970739201</v>
      </c>
      <c r="B35" s="12">
        <f t="shared" si="17"/>
        <v>69.191599999999994</v>
      </c>
      <c r="C35" s="17">
        <f>'MDEP Bathymetry'!E15</f>
        <v>422361</v>
      </c>
      <c r="D35" s="4">
        <f t="shared" si="18"/>
        <v>371723.16867321386</v>
      </c>
      <c r="E35" s="4">
        <f t="shared" si="0"/>
        <v>897446.59516218328</v>
      </c>
      <c r="F35" s="71" t="str">
        <f t="shared" si="3"/>
        <v/>
      </c>
      <c r="G35" s="71" t="str">
        <f t="shared" si="4"/>
        <v/>
      </c>
      <c r="H35" s="26" t="str">
        <f t="shared" si="1"/>
        <v/>
      </c>
      <c r="I35" s="3" t="str">
        <f t="shared" si="2"/>
        <v/>
      </c>
      <c r="J35" s="4" t="str">
        <f t="shared" si="5"/>
        <v/>
      </c>
      <c r="K35" s="4" t="str">
        <f t="shared" si="6"/>
        <v/>
      </c>
      <c r="L35" s="4" t="str">
        <f t="shared" si="7"/>
        <v/>
      </c>
      <c r="M35" s="4" t="str">
        <f t="shared" si="8"/>
        <v/>
      </c>
      <c r="N35" s="72" t="str">
        <f t="shared" si="9"/>
        <v/>
      </c>
      <c r="O35" s="72" t="str">
        <f t="shared" si="10"/>
        <v/>
      </c>
      <c r="P35" s="27" t="str">
        <f t="shared" si="11"/>
        <v/>
      </c>
      <c r="Q35" s="3" t="str">
        <f t="shared" si="12"/>
        <v/>
      </c>
      <c r="R35" s="4" t="str">
        <f t="shared" si="13"/>
        <v/>
      </c>
      <c r="S35" s="4" t="str">
        <f t="shared" si="14"/>
        <v/>
      </c>
      <c r="T35" s="4" t="str">
        <f t="shared" si="15"/>
        <v/>
      </c>
      <c r="U35" s="4" t="str">
        <f t="shared" si="16"/>
        <v/>
      </c>
    </row>
    <row r="36" spans="1:21" x14ac:dyDescent="0.3">
      <c r="A36" s="12">
        <f>$A$25+'MDEP Bathymetry'!D16</f>
        <v>11.914399970739201</v>
      </c>
      <c r="B36" s="12">
        <f t="shared" si="17"/>
        <v>65.91076000000001</v>
      </c>
      <c r="C36" s="17">
        <f>'MDEP Bathymetry'!E16</f>
        <v>323289</v>
      </c>
      <c r="D36" s="4">
        <f t="shared" si="18"/>
        <v>272246.63135475013</v>
      </c>
      <c r="E36" s="4">
        <f t="shared" si="0"/>
        <v>525723.42648896948</v>
      </c>
      <c r="F36" s="71" t="str">
        <f t="shared" si="3"/>
        <v/>
      </c>
      <c r="G36" s="71" t="str">
        <f t="shared" si="4"/>
        <v/>
      </c>
      <c r="H36" s="26" t="str">
        <f t="shared" si="1"/>
        <v/>
      </c>
      <c r="I36" s="3" t="str">
        <f t="shared" si="2"/>
        <v/>
      </c>
      <c r="J36" s="4" t="str">
        <f t="shared" si="5"/>
        <v/>
      </c>
      <c r="K36" s="4" t="str">
        <f t="shared" si="6"/>
        <v/>
      </c>
      <c r="L36" s="4" t="str">
        <f t="shared" si="7"/>
        <v/>
      </c>
      <c r="M36" s="4" t="str">
        <f t="shared" si="8"/>
        <v/>
      </c>
      <c r="N36" s="72" t="str">
        <f t="shared" si="9"/>
        <v/>
      </c>
      <c r="O36" s="72" t="str">
        <f t="shared" si="10"/>
        <v/>
      </c>
      <c r="P36" s="27" t="str">
        <f t="shared" si="11"/>
        <v/>
      </c>
      <c r="Q36" s="3" t="str">
        <f t="shared" si="12"/>
        <v/>
      </c>
      <c r="R36" s="4" t="str">
        <f t="shared" si="13"/>
        <v/>
      </c>
      <c r="S36" s="4" t="str">
        <f t="shared" si="14"/>
        <v/>
      </c>
      <c r="T36" s="4" t="str">
        <f t="shared" si="15"/>
        <v/>
      </c>
      <c r="U36" s="4" t="str">
        <f t="shared" si="16"/>
        <v/>
      </c>
    </row>
    <row r="37" spans="1:21" x14ac:dyDescent="0.3">
      <c r="A37" s="12">
        <f>$A$25+'MDEP Bathymetry'!D17</f>
        <v>12.914399970739201</v>
      </c>
      <c r="B37" s="12">
        <f t="shared" si="17"/>
        <v>62.629919999999998</v>
      </c>
      <c r="C37" s="17">
        <f>'MDEP Bathymetry'!E17</f>
        <v>224217</v>
      </c>
      <c r="D37" s="4">
        <f t="shared" si="18"/>
        <v>175179.46232503548</v>
      </c>
      <c r="E37" s="4">
        <f t="shared" si="0"/>
        <v>253476.7951342194</v>
      </c>
      <c r="F37" s="71" t="str">
        <f t="shared" si="3"/>
        <v/>
      </c>
      <c r="G37" s="71" t="str">
        <f t="shared" si="4"/>
        <v/>
      </c>
      <c r="H37" s="26" t="str">
        <f t="shared" si="1"/>
        <v/>
      </c>
      <c r="I37" s="3" t="str">
        <f t="shared" si="2"/>
        <v/>
      </c>
      <c r="J37" s="4" t="str">
        <f t="shared" si="5"/>
        <v/>
      </c>
      <c r="K37" s="4" t="str">
        <f t="shared" si="6"/>
        <v/>
      </c>
      <c r="L37" s="4" t="str">
        <f t="shared" si="7"/>
        <v/>
      </c>
      <c r="M37" s="4" t="str">
        <f t="shared" si="8"/>
        <v/>
      </c>
      <c r="N37" s="72" t="str">
        <f t="shared" si="9"/>
        <v/>
      </c>
      <c r="O37" s="72" t="str">
        <f t="shared" si="10"/>
        <v/>
      </c>
      <c r="P37" s="27" t="str">
        <f t="shared" si="11"/>
        <v/>
      </c>
      <c r="Q37" s="3" t="str">
        <f t="shared" si="12"/>
        <v/>
      </c>
      <c r="R37" s="4" t="str">
        <f t="shared" si="13"/>
        <v/>
      </c>
      <c r="S37" s="4" t="str">
        <f t="shared" si="14"/>
        <v/>
      </c>
      <c r="T37" s="4" t="str">
        <f t="shared" si="15"/>
        <v/>
      </c>
      <c r="U37" s="4" t="str">
        <f t="shared" si="16"/>
        <v/>
      </c>
    </row>
    <row r="38" spans="1:21" x14ac:dyDescent="0.3">
      <c r="A38" s="12">
        <f>$A$25+'MDEP Bathymetry'!D18</f>
        <v>13.914399970739201</v>
      </c>
      <c r="B38" s="12">
        <f t="shared" si="17"/>
        <v>59.349080000000001</v>
      </c>
      <c r="C38" s="17">
        <f>'MDEP Bathymetry'!E18</f>
        <v>130358</v>
      </c>
      <c r="D38" s="4">
        <f t="shared" si="18"/>
        <v>75168.73280918393</v>
      </c>
      <c r="E38" s="4">
        <f t="shared" si="0"/>
        <v>78297.332809183936</v>
      </c>
      <c r="F38" s="71" t="str">
        <f t="shared" si="3"/>
        <v/>
      </c>
      <c r="G38" s="71" t="str">
        <f t="shared" si="4"/>
        <v/>
      </c>
      <c r="H38" s="26" t="str">
        <f t="shared" si="1"/>
        <v/>
      </c>
      <c r="I38" s="3" t="str">
        <f t="shared" si="2"/>
        <v/>
      </c>
      <c r="J38" s="4" t="str">
        <f t="shared" si="5"/>
        <v/>
      </c>
      <c r="K38" s="4" t="str">
        <f t="shared" si="6"/>
        <v/>
      </c>
      <c r="L38" s="4" t="str">
        <f t="shared" si="7"/>
        <v/>
      </c>
      <c r="M38" s="4" t="str">
        <f t="shared" si="8"/>
        <v/>
      </c>
      <c r="N38" s="72" t="str">
        <f t="shared" si="9"/>
        <v/>
      </c>
      <c r="O38" s="72" t="str">
        <f t="shared" si="10"/>
        <v/>
      </c>
      <c r="P38" s="27" t="str">
        <f t="shared" si="11"/>
        <v/>
      </c>
      <c r="Q38" s="3" t="str">
        <f t="shared" si="12"/>
        <v/>
      </c>
      <c r="R38" s="4" t="str">
        <f t="shared" si="13"/>
        <v/>
      </c>
      <c r="S38" s="4" t="str">
        <f t="shared" si="14"/>
        <v/>
      </c>
      <c r="T38" s="4" t="str">
        <f t="shared" si="15"/>
        <v/>
      </c>
      <c r="U38" s="4" t="str">
        <f t="shared" si="16"/>
        <v/>
      </c>
    </row>
    <row r="39" spans="1:21" x14ac:dyDescent="0.3">
      <c r="A39" s="12">
        <f>$A$25+'MDEP Bathymetry'!D19</f>
        <v>14.914399970739201</v>
      </c>
      <c r="B39" s="12">
        <f t="shared" si="17"/>
        <v>56.068240000000003</v>
      </c>
      <c r="C39" s="17">
        <f>'MDEP Bathymetry'!E19</f>
        <v>31286</v>
      </c>
      <c r="D39" s="4">
        <f t="shared" si="18"/>
        <v>3128.6000000000072</v>
      </c>
      <c r="E39" s="4">
        <f>E40+D39</f>
        <v>3128.6000000000072</v>
      </c>
      <c r="F39" s="71" t="str">
        <f t="shared" si="3"/>
        <v/>
      </c>
      <c r="G39" s="71" t="str">
        <f t="shared" si="4"/>
        <v/>
      </c>
      <c r="H39" s="26" t="str">
        <f t="shared" si="1"/>
        <v/>
      </c>
      <c r="I39" s="3" t="str">
        <f t="shared" si="2"/>
        <v/>
      </c>
      <c r="J39" s="4" t="str">
        <f t="shared" si="5"/>
        <v/>
      </c>
      <c r="K39" s="4" t="str">
        <f t="shared" si="6"/>
        <v/>
      </c>
      <c r="L39" s="4" t="str">
        <f t="shared" si="7"/>
        <v/>
      </c>
      <c r="M39" s="4" t="str">
        <f t="shared" si="8"/>
        <v/>
      </c>
      <c r="N39" s="72" t="str">
        <f t="shared" si="9"/>
        <v/>
      </c>
      <c r="O39" s="72" t="str">
        <f t="shared" si="10"/>
        <v/>
      </c>
      <c r="P39" s="27" t="str">
        <f t="shared" si="11"/>
        <v/>
      </c>
      <c r="Q39" s="3" t="str">
        <f t="shared" si="12"/>
        <v/>
      </c>
      <c r="R39" s="4" t="str">
        <f t="shared" si="13"/>
        <v/>
      </c>
      <c r="S39" s="4" t="str">
        <f t="shared" si="14"/>
        <v/>
      </c>
      <c r="T39" s="4" t="str">
        <f t="shared" si="15"/>
        <v/>
      </c>
      <c r="U39" s="4" t="str">
        <f t="shared" si="16"/>
        <v/>
      </c>
    </row>
    <row r="40" spans="1:21" x14ac:dyDescent="0.3">
      <c r="A40" s="12">
        <f>$A$25+'MDEP Bathymetry'!D20</f>
        <v>15.214399970739201</v>
      </c>
      <c r="B40" s="12">
        <f t="shared" si="17"/>
        <v>55.083987999999998</v>
      </c>
      <c r="C40" s="17">
        <f>'MDEP Bathymetry'!E20</f>
        <v>0</v>
      </c>
      <c r="D40" s="4">
        <f t="shared" si="18"/>
        <v>0</v>
      </c>
      <c r="E40" s="1">
        <v>0</v>
      </c>
      <c r="F40" s="71" t="str">
        <f t="shared" ref="F40" si="19">IF($C$9=B40,B40, IF($C$9&lt;B40,IF($C$9&gt;B41,$C$9,""),""))</f>
        <v/>
      </c>
      <c r="G40" s="71" t="str">
        <f t="shared" ref="G40" si="20">IF(B40&gt;$C$10,"",IF(B40=$C$10,$C$10,IF(B40&lt;$C$10,IF(B39&gt;$C$10,$C$10,""),"")))</f>
        <v/>
      </c>
      <c r="H40" s="26" t="str">
        <f t="shared" ref="H40" si="21">IF(I40="","",($C$9-I40)/3.28084)</f>
        <v/>
      </c>
      <c r="I40" s="3" t="str">
        <f t="shared" ref="I40" si="22">IF(F40=$C$9,F40, IF(G40=$C$10,G40,IF(B40&gt;$C$10,IF(B40&lt;$C$9,B40,""),"")))</f>
        <v/>
      </c>
      <c r="J40" s="4" t="str">
        <f t="shared" si="5"/>
        <v/>
      </c>
      <c r="K40" s="4" t="str">
        <f t="shared" ref="K40" si="23">IF(J40="","",J40-(MIN($J$24:$J$39)))</f>
        <v/>
      </c>
      <c r="L40" s="4" t="str">
        <f t="shared" ref="L40" si="24">IF(I40="","",IF(I40=$C$10,0,((1/3)*(J40+J41+((J40*J41)^0.5))*(H41-H40))))</f>
        <v/>
      </c>
      <c r="M40" s="4" t="str">
        <f t="shared" ref="M40" si="25">IF(L40="","",IF(L40=0,0,(M41+L40)))</f>
        <v/>
      </c>
      <c r="P40" s="27" t="str">
        <f t="shared" ref="P40" si="26">IF(Q40="","",(($C$11-Q40)/3.28084))</f>
        <v/>
      </c>
      <c r="Q40" s="3" t="str">
        <f t="shared" ref="Q40" si="27">IF(N40=$C$11, $C$11,IF(I40&gt;$C$11,"",I40))</f>
        <v/>
      </c>
      <c r="R40" s="4" t="str">
        <f t="shared" ref="R40" si="28">IF(Q40="","",IF(Q40=$C$11,((((Q40-Q41)/(I40-Q41))*(J40-J41))+J41),J40))</f>
        <v/>
      </c>
      <c r="S40" s="4" t="str">
        <f t="shared" ref="S40" si="29">IF(R40="","",R40-MIN($R$24:$R$39))</f>
        <v/>
      </c>
      <c r="T40" s="4" t="str">
        <f t="shared" ref="T40" si="30">IF(Q40="","",IF(I40=$C$10,0,((1/3)*(R40+R41+((R40*R41)^0.5))*(P41-P40))))</f>
        <v/>
      </c>
      <c r="U40" s="4" t="str">
        <f t="shared" ref="U40" si="31">IF(T40="","",IF(T40=0,0,(U41+T40)))</f>
        <v/>
      </c>
    </row>
    <row r="41" spans="1:21" x14ac:dyDescent="0.3">
      <c r="A41" s="22"/>
      <c r="B41" s="3"/>
      <c r="C41" s="23"/>
    </row>
    <row r="42" spans="1:21" ht="15" customHeight="1" x14ac:dyDescent="0.3">
      <c r="A42" s="64" t="s">
        <v>57</v>
      </c>
      <c r="B42" s="64"/>
      <c r="C42" s="64"/>
      <c r="D42" s="64"/>
      <c r="E42" s="64"/>
    </row>
    <row r="43" spans="1:21" x14ac:dyDescent="0.3">
      <c r="A43" s="64"/>
      <c r="B43" s="64"/>
      <c r="C43" s="64"/>
      <c r="D43" s="64"/>
      <c r="E43" s="64"/>
    </row>
    <row r="44" spans="1:21" x14ac:dyDescent="0.3">
      <c r="A44" s="64"/>
      <c r="B44" s="64"/>
      <c r="C44" s="64"/>
      <c r="D44" s="64"/>
      <c r="E44" s="64"/>
    </row>
  </sheetData>
  <mergeCells count="17">
    <mergeCell ref="A13:B13"/>
    <mergeCell ref="A1:E1"/>
    <mergeCell ref="A2:E2"/>
    <mergeCell ref="A4:B4"/>
    <mergeCell ref="A5:B5"/>
    <mergeCell ref="A6:B6"/>
    <mergeCell ref="A14:B14"/>
    <mergeCell ref="A15:B15"/>
    <mergeCell ref="A17:B17"/>
    <mergeCell ref="A18:B18"/>
    <mergeCell ref="A19:B19"/>
    <mergeCell ref="F21:G21"/>
    <mergeCell ref="H21:M21"/>
    <mergeCell ref="N21:O21"/>
    <mergeCell ref="P21:U21"/>
    <mergeCell ref="A42:E44"/>
    <mergeCell ref="A21:E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AC880-AED2-4558-9538-D281A6505101}">
  <dimension ref="A1:V52"/>
  <sheetViews>
    <sheetView workbookViewId="0">
      <selection activeCell="D15" sqref="D15"/>
    </sheetView>
  </sheetViews>
  <sheetFormatPr defaultRowHeight="14.4" x14ac:dyDescent="0.3"/>
  <cols>
    <col min="1" max="5" width="20.6640625" customWidth="1"/>
    <col min="6" max="6" width="20.6640625" style="13" customWidth="1"/>
    <col min="7" max="8" width="6.6640625" style="13" customWidth="1"/>
    <col min="9" max="11" width="18.6640625" style="1" customWidth="1"/>
    <col min="12" max="13" width="18.6640625" customWidth="1"/>
    <col min="14" max="14" width="18.6640625" style="19" customWidth="1"/>
    <col min="15" max="15" width="6.6640625" style="19" customWidth="1"/>
    <col min="16" max="16" width="6.6640625" customWidth="1"/>
    <col min="17" max="18" width="18.6640625" customWidth="1"/>
    <col min="19" max="20" width="18.6640625" style="1" customWidth="1"/>
    <col min="21" max="22" width="18.6640625" customWidth="1"/>
  </cols>
  <sheetData>
    <row r="1" spans="1:21" ht="21" x14ac:dyDescent="0.4">
      <c r="A1" s="48" t="s">
        <v>48</v>
      </c>
      <c r="B1" s="48"/>
      <c r="C1" s="48"/>
      <c r="D1" s="48"/>
      <c r="E1" s="48"/>
      <c r="F1" s="48"/>
    </row>
    <row r="2" spans="1:21" ht="15.6" x14ac:dyDescent="0.3">
      <c r="A2" s="65" t="s">
        <v>72</v>
      </c>
      <c r="B2" s="65"/>
      <c r="C2" s="65"/>
      <c r="D2" s="65"/>
      <c r="E2" s="65"/>
      <c r="F2" s="65"/>
    </row>
    <row r="3" spans="1:21" x14ac:dyDescent="0.3">
      <c r="A3" s="1"/>
      <c r="B3" s="1"/>
      <c r="S3"/>
      <c r="T3"/>
    </row>
    <row r="4" spans="1:21" ht="15.6" x14ac:dyDescent="0.3">
      <c r="A4" s="53" t="s">
        <v>50</v>
      </c>
      <c r="B4" s="53"/>
      <c r="C4" s="62">
        <v>103</v>
      </c>
      <c r="D4" t="s">
        <v>8</v>
      </c>
      <c r="S4"/>
      <c r="T4"/>
    </row>
    <row r="5" spans="1:21" ht="15.6" x14ac:dyDescent="0.3">
      <c r="A5" s="53" t="s">
        <v>7</v>
      </c>
      <c r="B5" s="53"/>
      <c r="C5" s="62">
        <v>1.77</v>
      </c>
      <c r="D5" t="s">
        <v>13</v>
      </c>
      <c r="S5"/>
      <c r="T5"/>
    </row>
    <row r="6" spans="1:21" ht="15.6" x14ac:dyDescent="0.3">
      <c r="A6" s="53" t="s">
        <v>32</v>
      </c>
      <c r="B6" s="53"/>
      <c r="C6" s="62">
        <v>2.9</v>
      </c>
      <c r="D6" t="s">
        <v>8</v>
      </c>
      <c r="S6"/>
      <c r="T6"/>
    </row>
    <row r="7" spans="1:21" x14ac:dyDescent="0.3">
      <c r="A7" s="9"/>
      <c r="B7" s="9"/>
      <c r="C7" s="11"/>
      <c r="S7"/>
      <c r="T7"/>
    </row>
    <row r="8" spans="1:21" x14ac:dyDescent="0.3">
      <c r="A8" s="9"/>
      <c r="B8" s="9" t="s">
        <v>18</v>
      </c>
      <c r="C8" s="1">
        <f>C5*2</f>
        <v>3.54</v>
      </c>
      <c r="D8" s="16" t="s">
        <v>13</v>
      </c>
      <c r="P8" s="16"/>
      <c r="Q8" s="16"/>
      <c r="U8" s="8"/>
    </row>
    <row r="9" spans="1:21" x14ac:dyDescent="0.3">
      <c r="A9" s="9"/>
      <c r="B9" s="9" t="s">
        <v>10</v>
      </c>
      <c r="C9" s="12">
        <f>C4</f>
        <v>103</v>
      </c>
      <c r="D9" t="s">
        <v>8</v>
      </c>
      <c r="U9" s="8"/>
    </row>
    <row r="10" spans="1:21" x14ac:dyDescent="0.3">
      <c r="A10" s="1"/>
      <c r="B10" s="9" t="s">
        <v>11</v>
      </c>
      <c r="C10" s="12">
        <f>C4-(C8*3.28084)</f>
        <v>91.385826399999999</v>
      </c>
      <c r="D10" t="s">
        <v>8</v>
      </c>
      <c r="F10"/>
      <c r="G10"/>
      <c r="H10"/>
    </row>
    <row r="11" spans="1:21" x14ac:dyDescent="0.3">
      <c r="A11" s="1"/>
      <c r="B11" s="9" t="s">
        <v>33</v>
      </c>
      <c r="C11" s="12">
        <f>C9-C6</f>
        <v>100.1</v>
      </c>
      <c r="D11" t="s">
        <v>8</v>
      </c>
      <c r="F11"/>
      <c r="G11"/>
      <c r="H11"/>
    </row>
    <row r="12" spans="1:21" x14ac:dyDescent="0.3">
      <c r="A12" s="1"/>
      <c r="B12" s="9"/>
      <c r="C12" s="12"/>
      <c r="F12"/>
      <c r="G12"/>
      <c r="H12"/>
    </row>
    <row r="13" spans="1:21" ht="16.2" x14ac:dyDescent="0.3">
      <c r="A13" s="53" t="s">
        <v>28</v>
      </c>
      <c r="B13" s="53"/>
      <c r="C13" s="17">
        <f>MAX(T24:T34)</f>
        <v>13739229.759222034</v>
      </c>
      <c r="D13" t="s">
        <v>19</v>
      </c>
      <c r="F13"/>
      <c r="G13"/>
      <c r="H13"/>
    </row>
    <row r="14" spans="1:21" ht="16.2" x14ac:dyDescent="0.3">
      <c r="A14" s="53" t="s">
        <v>44</v>
      </c>
      <c r="B14" s="53"/>
      <c r="C14" s="17">
        <f>MAX(L24:L34)</f>
        <v>17937843.028750788</v>
      </c>
      <c r="D14" t="s">
        <v>19</v>
      </c>
      <c r="F14"/>
      <c r="G14"/>
      <c r="H14"/>
    </row>
    <row r="15" spans="1:21" ht="15.6" x14ac:dyDescent="0.3">
      <c r="A15" s="54" t="s">
        <v>29</v>
      </c>
      <c r="B15" s="54"/>
      <c r="C15" s="44">
        <f>(C13/C14)*100</f>
        <v>76.593544369859785</v>
      </c>
      <c r="D15" s="73" t="s">
        <v>74</v>
      </c>
      <c r="F15"/>
      <c r="G15"/>
      <c r="H15"/>
    </row>
    <row r="16" spans="1:21" x14ac:dyDescent="0.3">
      <c r="A16" s="1"/>
      <c r="B16" s="9"/>
      <c r="C16" s="12"/>
      <c r="F16"/>
      <c r="G16"/>
      <c r="H16"/>
    </row>
    <row r="17" spans="1:22" ht="16.2" x14ac:dyDescent="0.3">
      <c r="A17" s="53" t="s">
        <v>30</v>
      </c>
      <c r="B17" s="53"/>
      <c r="C17" s="17">
        <f>MAX(V24:V34)</f>
        <v>76816149.786470264</v>
      </c>
      <c r="D17" t="s">
        <v>20</v>
      </c>
      <c r="F17"/>
      <c r="G17"/>
      <c r="H17"/>
    </row>
    <row r="18" spans="1:22" ht="16.2" x14ac:dyDescent="0.3">
      <c r="A18" s="53" t="s">
        <v>45</v>
      </c>
      <c r="B18" s="53"/>
      <c r="C18" s="17">
        <f>MAX(N24:N34)</f>
        <v>109900117.28873453</v>
      </c>
      <c r="D18" t="s">
        <v>20</v>
      </c>
      <c r="F18"/>
      <c r="G18"/>
      <c r="H18"/>
    </row>
    <row r="19" spans="1:22" ht="15.6" x14ac:dyDescent="0.3">
      <c r="A19" s="54" t="s">
        <v>31</v>
      </c>
      <c r="B19" s="54"/>
      <c r="C19" s="44">
        <f>(C17/C18)*100</f>
        <v>69.896331033619759</v>
      </c>
      <c r="D19" s="18"/>
      <c r="F19"/>
      <c r="G19"/>
      <c r="H19"/>
    </row>
    <row r="20" spans="1:22" x14ac:dyDescent="0.3">
      <c r="F20"/>
      <c r="G20"/>
      <c r="H20"/>
      <c r="L20" s="1"/>
      <c r="M20" s="10"/>
      <c r="N20" s="20"/>
      <c r="O20" s="20"/>
      <c r="P20" s="10"/>
      <c r="Q20" s="10"/>
    </row>
    <row r="21" spans="1:22" ht="18" x14ac:dyDescent="0.35">
      <c r="A21" s="50" t="s">
        <v>6</v>
      </c>
      <c r="B21" s="50"/>
      <c r="C21" s="50"/>
      <c r="D21" s="50"/>
      <c r="E21" s="50"/>
      <c r="F21" s="21"/>
      <c r="G21" s="60" t="s">
        <v>26</v>
      </c>
      <c r="H21" s="60"/>
      <c r="I21" s="50" t="s">
        <v>14</v>
      </c>
      <c r="J21" s="50"/>
      <c r="K21" s="50"/>
      <c r="L21" s="50"/>
      <c r="M21" s="50"/>
      <c r="N21" s="50"/>
      <c r="O21" s="60" t="s">
        <v>26</v>
      </c>
      <c r="P21" s="51"/>
      <c r="Q21" s="50" t="s">
        <v>27</v>
      </c>
      <c r="R21" s="50"/>
      <c r="S21" s="50"/>
      <c r="T21" s="50"/>
      <c r="U21" s="50"/>
      <c r="V21" s="50"/>
    </row>
    <row r="22" spans="1:22" x14ac:dyDescent="0.3">
      <c r="A22" s="5" t="s">
        <v>0</v>
      </c>
      <c r="B22" s="5" t="s">
        <v>12</v>
      </c>
      <c r="C22" s="5" t="s">
        <v>49</v>
      </c>
      <c r="D22" s="6" t="s">
        <v>4</v>
      </c>
      <c r="E22" s="6" t="s">
        <v>2</v>
      </c>
      <c r="F22" s="7" t="s">
        <v>23</v>
      </c>
      <c r="G22" s="70" t="s">
        <v>15</v>
      </c>
      <c r="H22" s="70" t="s">
        <v>16</v>
      </c>
      <c r="I22" s="15" t="s">
        <v>0</v>
      </c>
      <c r="J22" s="7" t="s">
        <v>12</v>
      </c>
      <c r="K22" s="7" t="s">
        <v>4</v>
      </c>
      <c r="L22" s="7" t="s">
        <v>24</v>
      </c>
      <c r="M22" s="7" t="s">
        <v>2</v>
      </c>
      <c r="N22" s="7" t="s">
        <v>25</v>
      </c>
      <c r="O22" s="59" t="s">
        <v>15</v>
      </c>
      <c r="P22" s="59" t="s">
        <v>16</v>
      </c>
      <c r="Q22" s="7" t="s">
        <v>0</v>
      </c>
      <c r="R22" s="7" t="s">
        <v>12</v>
      </c>
      <c r="S22" s="15" t="s">
        <v>4</v>
      </c>
      <c r="T22" s="15" t="s">
        <v>24</v>
      </c>
      <c r="U22" s="15" t="s">
        <v>2</v>
      </c>
      <c r="V22" s="15" t="s">
        <v>25</v>
      </c>
    </row>
    <row r="23" spans="1:22" ht="16.2" x14ac:dyDescent="0.3">
      <c r="A23" s="2" t="s">
        <v>17</v>
      </c>
      <c r="B23" s="2" t="s">
        <v>9</v>
      </c>
      <c r="C23" s="2" t="s">
        <v>42</v>
      </c>
      <c r="D23" s="3" t="s">
        <v>3</v>
      </c>
      <c r="E23" s="3" t="s">
        <v>1</v>
      </c>
      <c r="F23" s="1" t="s">
        <v>1</v>
      </c>
      <c r="G23" s="70" t="s">
        <v>17</v>
      </c>
      <c r="H23" s="70" t="s">
        <v>17</v>
      </c>
      <c r="I23" s="14" t="s">
        <v>5</v>
      </c>
      <c r="J23" s="1" t="s">
        <v>9</v>
      </c>
      <c r="K23" s="1" t="s">
        <v>3</v>
      </c>
      <c r="L23" s="1" t="s">
        <v>3</v>
      </c>
      <c r="M23" s="1" t="s">
        <v>1</v>
      </c>
      <c r="N23" s="1" t="s">
        <v>1</v>
      </c>
      <c r="O23" s="70" t="s">
        <v>17</v>
      </c>
      <c r="P23" s="70" t="s">
        <v>17</v>
      </c>
      <c r="Q23" s="1" t="s">
        <v>5</v>
      </c>
      <c r="R23" s="1" t="s">
        <v>9</v>
      </c>
      <c r="S23" s="14" t="s">
        <v>21</v>
      </c>
      <c r="T23" s="14" t="s">
        <v>21</v>
      </c>
      <c r="U23" s="14" t="s">
        <v>22</v>
      </c>
      <c r="V23" s="14" t="s">
        <v>22</v>
      </c>
    </row>
    <row r="24" spans="1:22" x14ac:dyDescent="0.3">
      <c r="A24" s="12">
        <v>0</v>
      </c>
      <c r="B24" s="12">
        <v>104.2</v>
      </c>
      <c r="C24" s="17">
        <v>10349</v>
      </c>
      <c r="D24" s="4">
        <f>(C24*43560)/(3.28084^2)</f>
        <v>41880914.435039036</v>
      </c>
      <c r="E24" s="4">
        <f>(1/3)*(D24+D25+((D24*D25)^0.5))*((A25-A24)/3.28084)</f>
        <v>3795866.8536954448</v>
      </c>
      <c r="F24" s="4">
        <f>F25+E24</f>
        <v>133422934.36279526</v>
      </c>
      <c r="G24" s="71" t="str">
        <f t="shared" ref="G24:G33" si="0">IF($C$9=B24,B24, IF($C$9&lt;B24,IF($C$9&gt;B25,$C$9,""),""))</f>
        <v/>
      </c>
      <c r="H24" s="71" t="str">
        <f t="shared" ref="H24:H34" si="1">IF(B24&gt;$C$10,"",IF(B24=$C$10,$C$10,IF(B24&lt;$C$10,IF(B23&gt;$C$10,$C$10,""),"")))</f>
        <v/>
      </c>
      <c r="I24" s="26" t="str">
        <f t="shared" ref="I24:I34" si="2">IF(J24="","",($C$9-J24)/3.28084)</f>
        <v/>
      </c>
      <c r="J24" s="3" t="str">
        <f t="shared" ref="J24:J34" si="3">IF(G24=$C$9,G24, IF(H24=$C$10,H24,IF(B24&gt;$C$10,IF(B24&lt;$C$9,B24,""),"")))</f>
        <v/>
      </c>
      <c r="K24" s="4" t="str">
        <f t="shared" ref="K24:K33" si="4">IF(J24=B24,D24,IF(J24=$C$9,((((J24-J25)/(B24-J25))*(D24-K25))+K25),IF(J24=$C$10,((((J24-B24)/(B23-B24))*(D23-D24))+D24),"")))</f>
        <v/>
      </c>
      <c r="L24" s="4" t="str">
        <f t="shared" ref="L24:L34" si="5">IF(K24="","",K24-(MIN($K$24:$K$34)))</f>
        <v/>
      </c>
      <c r="M24" s="4" t="str">
        <f>IF(J24="","",IF(J24=$C$10,0,((1/3)*(K24+K25+((K24*K25)^0.5))*(I25-I24))))</f>
        <v/>
      </c>
      <c r="N24" s="4" t="str">
        <f>IF(M24="","",IF(M24=0,0,(N25+M24)))</f>
        <v/>
      </c>
      <c r="O24" s="72" t="str">
        <f>IF(J24="","",IF($C$11&lt;J24,IF($C$11&gt;J25,$C$11,""),""))</f>
        <v/>
      </c>
      <c r="P24" s="72" t="str">
        <f>H24</f>
        <v/>
      </c>
      <c r="Q24" s="27" t="str">
        <f>IF(R24="","",(($C$11-R24)/3.28084))</f>
        <v/>
      </c>
      <c r="R24" s="3" t="str">
        <f>IF(O24=$C$11, $C$11,IF(J24&gt;$C$11,"",J24))</f>
        <v/>
      </c>
      <c r="S24" s="4" t="str">
        <f>IF(R24="","",IF(R24=$C$11,((((R24-R25)/(J24-R25))*(K24-K25))+K25),K24))</f>
        <v/>
      </c>
      <c r="T24" s="4" t="str">
        <f t="shared" ref="T24:T34" si="6">IF(S24="","",S24-MIN($S$24:$S$34))</f>
        <v/>
      </c>
      <c r="U24" s="4" t="str">
        <f>IF(R24="","",IF(J24=$C$10,0,((1/3)*(S24+S25+((S24*S25)^0.5))*(Q25-Q24))))</f>
        <v/>
      </c>
      <c r="V24" s="4" t="str">
        <f>IF(U24="","",IF(U24=0,0,(V25+U24)))</f>
        <v/>
      </c>
    </row>
    <row r="25" spans="1:22" x14ac:dyDescent="0.3">
      <c r="A25" s="12">
        <v>0.3</v>
      </c>
      <c r="B25" s="12">
        <f>$B$24-A25</f>
        <v>103.9</v>
      </c>
      <c r="C25" s="17">
        <v>10167</v>
      </c>
      <c r="D25" s="4">
        <f t="shared" ref="D25:D34" si="7">(C25*43560)/(3.28084^2)</f>
        <v>41144386.613300018</v>
      </c>
      <c r="E25" s="4">
        <f t="shared" ref="E25:E33" si="8">(1/3)*(D25+D26+((D25*D26)^0.5))*((A26-A25)/3.28084)</f>
        <v>11066752.41759889</v>
      </c>
      <c r="F25" s="4">
        <f t="shared" ref="F25:F31" si="9">F26+E25</f>
        <v>129627067.50909981</v>
      </c>
      <c r="G25" s="71" t="str">
        <f t="shared" si="0"/>
        <v/>
      </c>
      <c r="H25" s="71" t="str">
        <f t="shared" si="1"/>
        <v/>
      </c>
      <c r="I25" s="26" t="str">
        <f t="shared" si="2"/>
        <v/>
      </c>
      <c r="J25" s="3" t="str">
        <f t="shared" si="3"/>
        <v/>
      </c>
      <c r="K25" s="4" t="str">
        <f t="shared" si="4"/>
        <v/>
      </c>
      <c r="L25" s="4" t="str">
        <f t="shared" si="5"/>
        <v/>
      </c>
      <c r="M25" s="4" t="str">
        <f t="shared" ref="M25:M33" si="10">IF(J25="","",IF(J25=$C$10,0,((1/3)*(K25+K26+((K25*K26)^0.5))*(I26-I25))))</f>
        <v/>
      </c>
      <c r="N25" s="4" t="str">
        <f t="shared" ref="N25:N33" si="11">IF(M25="","",IF(M25=0,0,(N26+M25)))</f>
        <v/>
      </c>
      <c r="O25" s="72" t="str">
        <f t="shared" ref="O25:O33" si="12">IF(J25="","",IF($C$11&lt;J25,IF($C$11&gt;J26,$C$11,""),""))</f>
        <v/>
      </c>
      <c r="P25" s="72" t="str">
        <f t="shared" ref="P25:P34" si="13">H25</f>
        <v/>
      </c>
      <c r="Q25" s="27" t="str">
        <f t="shared" ref="Q25:Q34" si="14">IF(R25="","",(($C$11-R25)/3.28084))</f>
        <v/>
      </c>
      <c r="R25" s="3" t="str">
        <f t="shared" ref="R25:R34" si="15">IF(O25=$C$11, $C$11,IF(J25&gt;$C$11,"",J25))</f>
        <v/>
      </c>
      <c r="S25" s="4" t="str">
        <f t="shared" ref="S25:S33" si="16">IF(R25="","",IF(R25=$C$11,((((R25-R26)/(J25-R26))*(K25-K26))+K26),K25))</f>
        <v/>
      </c>
      <c r="T25" s="4" t="str">
        <f t="shared" si="6"/>
        <v/>
      </c>
      <c r="U25" s="4" t="str">
        <f t="shared" ref="U25:U33" si="17">IF(R25="","",IF(J25=$C$10,0,((1/3)*(S25+S26+((S25*S26)^0.5))*(Q26-Q25))))</f>
        <v/>
      </c>
      <c r="V25" s="4" t="str">
        <f t="shared" ref="V25:V33" si="18">IF(U25="","",IF(U25=0,0,(V26+U25)))</f>
        <v/>
      </c>
    </row>
    <row r="26" spans="1:22" x14ac:dyDescent="0.3">
      <c r="A26" s="12">
        <v>1.2</v>
      </c>
      <c r="B26" s="12">
        <f t="shared" ref="B26:B34" si="19">$B$24-A26</f>
        <v>103</v>
      </c>
      <c r="C26" s="17">
        <v>9772</v>
      </c>
      <c r="D26" s="4">
        <f t="shared" si="7"/>
        <v>39545878.428756543</v>
      </c>
      <c r="E26" s="4">
        <f t="shared" si="8"/>
        <v>11829000.219779404</v>
      </c>
      <c r="F26" s="4">
        <f t="shared" si="9"/>
        <v>118560315.09150092</v>
      </c>
      <c r="G26" s="71">
        <f t="shared" si="0"/>
        <v>103</v>
      </c>
      <c r="H26" s="71" t="str">
        <f t="shared" si="1"/>
        <v/>
      </c>
      <c r="I26" s="26">
        <f t="shared" si="2"/>
        <v>0</v>
      </c>
      <c r="J26" s="3">
        <f t="shared" si="3"/>
        <v>103</v>
      </c>
      <c r="K26" s="4">
        <f t="shared" si="4"/>
        <v>39545878.428756543</v>
      </c>
      <c r="L26" s="4">
        <f t="shared" si="5"/>
        <v>17937843.028750788</v>
      </c>
      <c r="M26" s="4">
        <f t="shared" si="10"/>
        <v>11829000.2197794</v>
      </c>
      <c r="N26" s="4">
        <f t="shared" si="11"/>
        <v>109900117.28873453</v>
      </c>
      <c r="O26" s="72" t="str">
        <f t="shared" si="12"/>
        <v/>
      </c>
      <c r="P26" s="72" t="str">
        <f t="shared" si="13"/>
        <v/>
      </c>
      <c r="Q26" s="27" t="str">
        <f t="shared" si="14"/>
        <v/>
      </c>
      <c r="R26" s="3" t="str">
        <f t="shared" si="15"/>
        <v/>
      </c>
      <c r="S26" s="4" t="str">
        <f t="shared" si="16"/>
        <v/>
      </c>
      <c r="T26" s="4" t="str">
        <f t="shared" si="6"/>
        <v/>
      </c>
      <c r="U26" s="4" t="str">
        <f t="shared" si="17"/>
        <v/>
      </c>
      <c r="V26" s="4" t="str">
        <f t="shared" si="18"/>
        <v/>
      </c>
    </row>
    <row r="27" spans="1:22" x14ac:dyDescent="0.3">
      <c r="A27" s="12">
        <v>2.2000000000000002</v>
      </c>
      <c r="B27" s="12">
        <f t="shared" si="19"/>
        <v>102</v>
      </c>
      <c r="C27" s="17">
        <v>9409</v>
      </c>
      <c r="D27" s="4">
        <f t="shared" si="7"/>
        <v>38076869.641441904</v>
      </c>
      <c r="E27" s="4">
        <f t="shared" si="8"/>
        <v>22330161.716949988</v>
      </c>
      <c r="F27" s="4">
        <f>F28+E27</f>
        <v>106731314.87172152</v>
      </c>
      <c r="G27" s="71" t="str">
        <f t="shared" si="0"/>
        <v/>
      </c>
      <c r="H27" s="71" t="str">
        <f t="shared" si="1"/>
        <v/>
      </c>
      <c r="I27" s="26">
        <f t="shared" si="2"/>
        <v>0.30479999024640031</v>
      </c>
      <c r="J27" s="3">
        <f t="shared" si="3"/>
        <v>102</v>
      </c>
      <c r="K27" s="4">
        <f t="shared" si="4"/>
        <v>38076869.641441904</v>
      </c>
      <c r="L27" s="4">
        <f t="shared" si="5"/>
        <v>16468834.24143615</v>
      </c>
      <c r="M27" s="4">
        <f t="shared" si="10"/>
        <v>22330161.716949992</v>
      </c>
      <c r="N27" s="4">
        <f t="shared" si="11"/>
        <v>98071117.068955123</v>
      </c>
      <c r="O27" s="72">
        <f t="shared" si="12"/>
        <v>100.1</v>
      </c>
      <c r="P27" s="72" t="str">
        <f t="shared" si="13"/>
        <v/>
      </c>
      <c r="Q27" s="27">
        <f t="shared" si="14"/>
        <v>0</v>
      </c>
      <c r="R27" s="3">
        <f t="shared" si="15"/>
        <v>100.1</v>
      </c>
      <c r="S27" s="4">
        <f t="shared" si="16"/>
        <v>35347265.159227788</v>
      </c>
      <c r="T27" s="4">
        <f t="shared" si="6"/>
        <v>13739229.759222034</v>
      </c>
      <c r="U27" s="4">
        <f t="shared" si="17"/>
        <v>1075194.434465162</v>
      </c>
      <c r="V27" s="4">
        <f t="shared" si="18"/>
        <v>76816149.786470264</v>
      </c>
    </row>
    <row r="28" spans="1:22" x14ac:dyDescent="0.3">
      <c r="A28" s="12">
        <v>4.2</v>
      </c>
      <c r="B28" s="12">
        <f t="shared" si="19"/>
        <v>100</v>
      </c>
      <c r="C28" s="17">
        <v>8699</v>
      </c>
      <c r="D28" s="4">
        <f t="shared" si="7"/>
        <v>35203601.765427053</v>
      </c>
      <c r="E28" s="4">
        <f t="shared" si="8"/>
        <v>20550593.584870141</v>
      </c>
      <c r="F28" s="4">
        <f t="shared" si="9"/>
        <v>84401153.154771537</v>
      </c>
      <c r="G28" s="71" t="str">
        <f t="shared" si="0"/>
        <v/>
      </c>
      <c r="H28" s="71" t="str">
        <f t="shared" si="1"/>
        <v/>
      </c>
      <c r="I28" s="26">
        <f t="shared" si="2"/>
        <v>0.91439997073920098</v>
      </c>
      <c r="J28" s="3">
        <f t="shared" si="3"/>
        <v>100</v>
      </c>
      <c r="K28" s="4">
        <f t="shared" si="4"/>
        <v>35203601.765427053</v>
      </c>
      <c r="L28" s="4">
        <f t="shared" si="5"/>
        <v>13595566.365421299</v>
      </c>
      <c r="M28" s="4">
        <f t="shared" si="10"/>
        <v>20550593.584870137</v>
      </c>
      <c r="N28" s="4">
        <f t="shared" si="11"/>
        <v>75740955.352005124</v>
      </c>
      <c r="O28" s="72" t="str">
        <f t="shared" si="12"/>
        <v/>
      </c>
      <c r="P28" s="72" t="str">
        <f t="shared" si="13"/>
        <v/>
      </c>
      <c r="Q28" s="27">
        <f t="shared" si="14"/>
        <v>3.0479999024638299E-2</v>
      </c>
      <c r="R28" s="3">
        <f t="shared" si="15"/>
        <v>100</v>
      </c>
      <c r="S28" s="4">
        <f t="shared" si="16"/>
        <v>35203601.765427053</v>
      </c>
      <c r="T28" s="4">
        <f t="shared" si="6"/>
        <v>13595566.365421299</v>
      </c>
      <c r="U28" s="4">
        <f t="shared" si="17"/>
        <v>20550593.584870141</v>
      </c>
      <c r="V28" s="4">
        <f t="shared" si="18"/>
        <v>75740955.352005109</v>
      </c>
    </row>
    <row r="29" spans="1:22" x14ac:dyDescent="0.3">
      <c r="A29" s="12">
        <v>6.2</v>
      </c>
      <c r="B29" s="12">
        <f t="shared" si="19"/>
        <v>98</v>
      </c>
      <c r="C29" s="17">
        <v>7967</v>
      </c>
      <c r="D29" s="4">
        <f t="shared" si="7"/>
        <v>32241303.053817373</v>
      </c>
      <c r="E29" s="4">
        <f t="shared" si="8"/>
        <v>18898130.122380074</v>
      </c>
      <c r="F29" s="4">
        <f t="shared" si="9"/>
        <v>63850559.569901392</v>
      </c>
      <c r="G29" s="71" t="str">
        <f t="shared" si="0"/>
        <v/>
      </c>
      <c r="H29" s="71" t="str">
        <f t="shared" si="1"/>
        <v/>
      </c>
      <c r="I29" s="26">
        <f t="shared" si="2"/>
        <v>1.5239999512320015</v>
      </c>
      <c r="J29" s="3">
        <f t="shared" si="3"/>
        <v>98</v>
      </c>
      <c r="K29" s="4">
        <f t="shared" si="4"/>
        <v>32241303.053817373</v>
      </c>
      <c r="L29" s="4">
        <f t="shared" si="5"/>
        <v>10633267.653811619</v>
      </c>
      <c r="M29" s="4">
        <f t="shared" si="10"/>
        <v>18898130.122380078</v>
      </c>
      <c r="N29" s="4">
        <f t="shared" si="11"/>
        <v>55190361.767134979</v>
      </c>
      <c r="O29" s="72" t="str">
        <f t="shared" si="12"/>
        <v/>
      </c>
      <c r="P29" s="72" t="str">
        <f t="shared" si="13"/>
        <v/>
      </c>
      <c r="Q29" s="27">
        <f t="shared" si="14"/>
        <v>0.64007997951743889</v>
      </c>
      <c r="R29" s="3">
        <f t="shared" si="15"/>
        <v>98</v>
      </c>
      <c r="S29" s="4">
        <f t="shared" si="16"/>
        <v>32241303.053817373</v>
      </c>
      <c r="T29" s="4">
        <f t="shared" si="6"/>
        <v>10633267.653811619</v>
      </c>
      <c r="U29" s="4">
        <f t="shared" si="17"/>
        <v>18898130.122380082</v>
      </c>
      <c r="V29" s="4">
        <f t="shared" si="18"/>
        <v>55190361.767134964</v>
      </c>
    </row>
    <row r="30" spans="1:22" x14ac:dyDescent="0.3">
      <c r="A30" s="12">
        <v>8.1999999999999993</v>
      </c>
      <c r="B30" s="12">
        <f t="shared" si="19"/>
        <v>96</v>
      </c>
      <c r="C30" s="17">
        <v>7358</v>
      </c>
      <c r="D30" s="4">
        <f t="shared" si="7"/>
        <v>29776767.650306039</v>
      </c>
      <c r="E30" s="4">
        <f t="shared" si="8"/>
        <v>17156926.916979816</v>
      </c>
      <c r="F30" s="4">
        <f t="shared" si="9"/>
        <v>44952429.447521321</v>
      </c>
      <c r="G30" s="71" t="str">
        <f t="shared" si="0"/>
        <v/>
      </c>
      <c r="H30" s="71" t="str">
        <f t="shared" si="1"/>
        <v/>
      </c>
      <c r="I30" s="26">
        <f t="shared" si="2"/>
        <v>2.133599931724802</v>
      </c>
      <c r="J30" s="3">
        <f t="shared" si="3"/>
        <v>96</v>
      </c>
      <c r="K30" s="4">
        <f t="shared" si="4"/>
        <v>29776767.650306039</v>
      </c>
      <c r="L30" s="4">
        <f t="shared" si="5"/>
        <v>8168732.2503002845</v>
      </c>
      <c r="M30" s="4">
        <f t="shared" si="10"/>
        <v>17156926.916979827</v>
      </c>
      <c r="N30" s="4">
        <f t="shared" si="11"/>
        <v>36292231.644754902</v>
      </c>
      <c r="O30" s="72" t="str">
        <f t="shared" si="12"/>
        <v/>
      </c>
      <c r="P30" s="72" t="str">
        <f t="shared" si="13"/>
        <v/>
      </c>
      <c r="Q30" s="27">
        <f t="shared" si="14"/>
        <v>1.2496799600102395</v>
      </c>
      <c r="R30" s="3">
        <f t="shared" si="15"/>
        <v>96</v>
      </c>
      <c r="S30" s="4">
        <f t="shared" si="16"/>
        <v>29776767.650306039</v>
      </c>
      <c r="T30" s="4">
        <f t="shared" si="6"/>
        <v>8168732.2503002845</v>
      </c>
      <c r="U30" s="4">
        <f t="shared" si="17"/>
        <v>17156926.91697982</v>
      </c>
      <c r="V30" s="4">
        <f t="shared" si="18"/>
        <v>36292231.644754887</v>
      </c>
    </row>
    <row r="31" spans="1:22" x14ac:dyDescent="0.3">
      <c r="A31" s="12">
        <v>10.199999999999999</v>
      </c>
      <c r="B31" s="12">
        <f t="shared" si="19"/>
        <v>94</v>
      </c>
      <c r="C31" s="17">
        <v>6559</v>
      </c>
      <c r="D31" s="4">
        <f t="shared" si="7"/>
        <v>26543329.575748481</v>
      </c>
      <c r="E31" s="4">
        <f t="shared" si="8"/>
        <v>14989933.373670546</v>
      </c>
      <c r="F31" s="4">
        <f t="shared" si="9"/>
        <v>27795502.530541506</v>
      </c>
      <c r="G31" s="71" t="str">
        <f t="shared" si="0"/>
        <v/>
      </c>
      <c r="H31" s="71" t="str">
        <f t="shared" si="1"/>
        <v/>
      </c>
      <c r="I31" s="26">
        <f t="shared" si="2"/>
        <v>2.743199912217603</v>
      </c>
      <c r="J31" s="3">
        <f t="shared" si="3"/>
        <v>94</v>
      </c>
      <c r="K31" s="4">
        <f t="shared" si="4"/>
        <v>26543329.575748481</v>
      </c>
      <c r="L31" s="4">
        <f t="shared" si="5"/>
        <v>4935294.1757427268</v>
      </c>
      <c r="M31" s="4">
        <f t="shared" si="10"/>
        <v>14989933.373670543</v>
      </c>
      <c r="N31" s="4">
        <f t="shared" si="11"/>
        <v>19135304.727775071</v>
      </c>
      <c r="O31" s="72" t="str">
        <f t="shared" si="12"/>
        <v/>
      </c>
      <c r="P31" s="72" t="str">
        <f t="shared" si="13"/>
        <v/>
      </c>
      <c r="Q31" s="27">
        <f t="shared" si="14"/>
        <v>1.8592799405030402</v>
      </c>
      <c r="R31" s="3">
        <f t="shared" si="15"/>
        <v>94</v>
      </c>
      <c r="S31" s="4">
        <f t="shared" si="16"/>
        <v>26543329.575748481</v>
      </c>
      <c r="T31" s="4">
        <f t="shared" si="6"/>
        <v>4935294.1757427268</v>
      </c>
      <c r="U31" s="4">
        <f t="shared" si="17"/>
        <v>14989933.373670543</v>
      </c>
      <c r="V31" s="4">
        <f t="shared" si="18"/>
        <v>19135304.727775071</v>
      </c>
    </row>
    <row r="32" spans="1:22" x14ac:dyDescent="0.3">
      <c r="A32" s="12">
        <v>12.2</v>
      </c>
      <c r="B32" s="12">
        <f t="shared" si="19"/>
        <v>92</v>
      </c>
      <c r="C32" s="17">
        <v>5606</v>
      </c>
      <c r="D32" s="4">
        <f t="shared" si="7"/>
        <v>22686675.652027134</v>
      </c>
      <c r="E32" s="4">
        <f t="shared" si="8"/>
        <v>4051973.7920056893</v>
      </c>
      <c r="F32" s="4">
        <f>F33+E32</f>
        <v>12805569.156870959</v>
      </c>
      <c r="G32" s="71" t="str">
        <f t="shared" si="0"/>
        <v/>
      </c>
      <c r="H32" s="71" t="str">
        <f t="shared" si="1"/>
        <v/>
      </c>
      <c r="I32" s="26">
        <f t="shared" si="2"/>
        <v>3.3527998927104035</v>
      </c>
      <c r="J32" s="3">
        <f t="shared" si="3"/>
        <v>92</v>
      </c>
      <c r="K32" s="4">
        <f t="shared" si="4"/>
        <v>22686675.652027134</v>
      </c>
      <c r="L32" s="4">
        <f t="shared" si="5"/>
        <v>1078640.2520213798</v>
      </c>
      <c r="M32" s="4">
        <f t="shared" si="10"/>
        <v>4051973.7920056428</v>
      </c>
      <c r="N32" s="4">
        <f t="shared" si="11"/>
        <v>4145371.3541045273</v>
      </c>
      <c r="O32" s="72" t="str">
        <f t="shared" si="12"/>
        <v/>
      </c>
      <c r="P32" s="72" t="str">
        <f t="shared" si="13"/>
        <v/>
      </c>
      <c r="Q32" s="27">
        <f t="shared" si="14"/>
        <v>2.4688799209958407</v>
      </c>
      <c r="R32" s="3">
        <f t="shared" si="15"/>
        <v>92</v>
      </c>
      <c r="S32" s="4">
        <f t="shared" si="16"/>
        <v>22686675.652027134</v>
      </c>
      <c r="T32" s="4">
        <f t="shared" si="6"/>
        <v>1078640.2520213798</v>
      </c>
      <c r="U32" s="4">
        <f t="shared" si="17"/>
        <v>4051973.7920056428</v>
      </c>
      <c r="V32" s="4">
        <f t="shared" si="18"/>
        <v>4145371.3541045273</v>
      </c>
    </row>
    <row r="33" spans="1:22" x14ac:dyDescent="0.3">
      <c r="A33" s="12">
        <v>12.8</v>
      </c>
      <c r="B33" s="12">
        <f t="shared" si="19"/>
        <v>91.4</v>
      </c>
      <c r="C33" s="17">
        <v>5345</v>
      </c>
      <c r="D33" s="4">
        <f t="shared" si="7"/>
        <v>21630446.193379421</v>
      </c>
      <c r="E33" s="4">
        <f t="shared" si="8"/>
        <v>8753595.3648652695</v>
      </c>
      <c r="F33" s="4">
        <f>F34+E33</f>
        <v>8753595.3648652695</v>
      </c>
      <c r="G33" s="71" t="str">
        <f t="shared" si="0"/>
        <v/>
      </c>
      <c r="H33" s="71" t="str">
        <f t="shared" si="1"/>
        <v/>
      </c>
      <c r="I33" s="26">
        <f t="shared" si="2"/>
        <v>3.535679886858242</v>
      </c>
      <c r="J33" s="3">
        <f t="shared" si="3"/>
        <v>91.4</v>
      </c>
      <c r="K33" s="4">
        <f t="shared" si="4"/>
        <v>21630446.193379421</v>
      </c>
      <c r="L33" s="4">
        <f t="shared" si="5"/>
        <v>22410.793373666704</v>
      </c>
      <c r="M33" s="4">
        <f t="shared" si="10"/>
        <v>93397.562098884591</v>
      </c>
      <c r="N33" s="4">
        <f t="shared" si="11"/>
        <v>93397.562098884591</v>
      </c>
      <c r="O33" s="72" t="str">
        <f t="shared" si="12"/>
        <v/>
      </c>
      <c r="P33" s="72" t="str">
        <f t="shared" si="13"/>
        <v/>
      </c>
      <c r="Q33" s="27">
        <f t="shared" si="14"/>
        <v>2.6517599151436793</v>
      </c>
      <c r="R33" s="3">
        <f t="shared" si="15"/>
        <v>91.4</v>
      </c>
      <c r="S33" s="4">
        <f t="shared" si="16"/>
        <v>21630446.193379421</v>
      </c>
      <c r="T33" s="4">
        <f t="shared" si="6"/>
        <v>22410.793373666704</v>
      </c>
      <c r="U33" s="4">
        <f t="shared" si="17"/>
        <v>93397.562098884591</v>
      </c>
      <c r="V33" s="4">
        <f t="shared" si="18"/>
        <v>93397.562098884591</v>
      </c>
    </row>
    <row r="34" spans="1:22" x14ac:dyDescent="0.3">
      <c r="A34" s="12">
        <v>14.2</v>
      </c>
      <c r="B34" s="12">
        <f t="shared" si="19"/>
        <v>90</v>
      </c>
      <c r="C34" s="17">
        <v>4798</v>
      </c>
      <c r="D34" s="4">
        <f t="shared" si="7"/>
        <v>19416815.871998966</v>
      </c>
      <c r="E34" s="4">
        <v>0</v>
      </c>
      <c r="F34" s="4">
        <v>0</v>
      </c>
      <c r="G34" s="71" t="str">
        <f>IF($C$9=B34,B34, IF($C$9&lt;B34,IF($C$9&gt;#REF!,$C$9,""),""))</f>
        <v/>
      </c>
      <c r="H34" s="71">
        <f t="shared" si="1"/>
        <v>91.385826399999999</v>
      </c>
      <c r="I34" s="26">
        <f t="shared" si="2"/>
        <v>3.5400000000000005</v>
      </c>
      <c r="J34" s="3">
        <f t="shared" si="3"/>
        <v>91.385826399999999</v>
      </c>
      <c r="K34" s="4">
        <f>IF(J34=B34,D34,IF(J34=$C$9,((((J34-J35)/(B34-J35))*(D34-K35))+K35),IF(J34=$C$10,((((J34-B34)/(B33-B34))*(D33-D34))+D34),"")))</f>
        <v>21608035.400005754</v>
      </c>
      <c r="L34" s="4">
        <f t="shared" si="5"/>
        <v>0</v>
      </c>
      <c r="M34" s="4">
        <f>IF(J34="","",IF(J34=$C$10,0,((1/3)*(K34+K35+((K34*K35)^0.5))*(I35-I34))))</f>
        <v>0</v>
      </c>
      <c r="N34" s="4">
        <f>IF(M34="","",IF(M34=0,0,(N35+M34)))</f>
        <v>0</v>
      </c>
      <c r="O34" s="72" t="str">
        <f>IF(J34="","",IF($C$11&lt;J34,IF($C$11&gt;#REF!,$C$11,""),""))</f>
        <v/>
      </c>
      <c r="P34" s="72">
        <f t="shared" si="13"/>
        <v>91.385826399999999</v>
      </c>
      <c r="Q34" s="27">
        <f t="shared" si="14"/>
        <v>2.6560800282854378</v>
      </c>
      <c r="R34" s="3">
        <f t="shared" si="15"/>
        <v>91.385826399999999</v>
      </c>
      <c r="S34" s="4">
        <f>IF(R34="","",IF(R34=$C$11,((((R34-R35)/(J34-R35))*(K34-K35))+K35),K34))</f>
        <v>21608035.400005754</v>
      </c>
      <c r="T34" s="4">
        <f t="shared" si="6"/>
        <v>0</v>
      </c>
      <c r="U34" s="4">
        <f>IF(R34="","",IF(J34=$C$10,0,((1/3)*(S34+S35+((S34*S35)^0.5))*(Q35-Q34))))</f>
        <v>0</v>
      </c>
      <c r="V34" s="4">
        <f>IF(U34="","",IF(U34=0,0,(V35+U34)))</f>
        <v>0</v>
      </c>
    </row>
    <row r="36" spans="1:22" ht="15" customHeight="1" x14ac:dyDescent="0.3">
      <c r="A36" s="64" t="s">
        <v>71</v>
      </c>
      <c r="B36" s="64"/>
      <c r="C36" s="64"/>
      <c r="D36" s="64"/>
      <c r="E36" s="64"/>
      <c r="F36" s="64"/>
    </row>
    <row r="37" spans="1:22" x14ac:dyDescent="0.3">
      <c r="A37" s="64"/>
      <c r="B37" s="64"/>
      <c r="C37" s="64"/>
      <c r="D37" s="64"/>
      <c r="E37" s="64"/>
      <c r="F37" s="64"/>
    </row>
    <row r="38" spans="1:22" x14ac:dyDescent="0.3">
      <c r="A38" s="45"/>
      <c r="B38" s="45"/>
      <c r="C38" s="45"/>
      <c r="D38" s="45"/>
      <c r="E38" s="45"/>
    </row>
    <row r="52" spans="4:4" x14ac:dyDescent="0.3">
      <c r="D52" s="4">
        <v>0</v>
      </c>
    </row>
  </sheetData>
  <mergeCells count="17">
    <mergeCell ref="Q21:V21"/>
    <mergeCell ref="A17:B17"/>
    <mergeCell ref="A19:B19"/>
    <mergeCell ref="A21:E21"/>
    <mergeCell ref="G21:H21"/>
    <mergeCell ref="I21:N21"/>
    <mergeCell ref="O21:P21"/>
    <mergeCell ref="A18:B18"/>
    <mergeCell ref="A36:F37"/>
    <mergeCell ref="A15:B15"/>
    <mergeCell ref="A1:F1"/>
    <mergeCell ref="A4:B4"/>
    <mergeCell ref="A5:B5"/>
    <mergeCell ref="A6:B6"/>
    <mergeCell ref="A13:B13"/>
    <mergeCell ref="A2:F2"/>
    <mergeCell ref="A14:B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61A0-3B98-41DA-A35A-5EC1A842B3EA}">
  <dimension ref="B1:F22"/>
  <sheetViews>
    <sheetView workbookViewId="0">
      <selection activeCell="F8" activeCellId="2" sqref="F4 F6 F8"/>
    </sheetView>
  </sheetViews>
  <sheetFormatPr defaultRowHeight="14.4" x14ac:dyDescent="0.3"/>
  <cols>
    <col min="1" max="1" width="2.6640625" customWidth="1"/>
    <col min="2" max="2" width="15.6640625" style="1" customWidth="1"/>
    <col min="3" max="3" width="15.6640625" customWidth="1"/>
    <col min="4" max="4" width="15.6640625" style="1" customWidth="1"/>
    <col min="5" max="5" width="15.6640625" customWidth="1"/>
    <col min="6" max="6" width="24.6640625" customWidth="1"/>
    <col min="7" max="7" width="2.6640625" customWidth="1"/>
  </cols>
  <sheetData>
    <row r="1" spans="2:6" ht="15" thickBot="1" x14ac:dyDescent="0.35">
      <c r="B1"/>
      <c r="D1"/>
    </row>
    <row r="2" spans="2:6" ht="21.6" thickBot="1" x14ac:dyDescent="0.45">
      <c r="B2" s="55" t="s">
        <v>61</v>
      </c>
      <c r="C2" s="56"/>
      <c r="D2" s="56"/>
      <c r="E2" s="56"/>
      <c r="F2" s="57"/>
    </row>
    <row r="3" spans="2:6" ht="51" customHeight="1" thickBot="1" x14ac:dyDescent="0.35">
      <c r="B3" s="29" t="s">
        <v>60</v>
      </c>
      <c r="C3" s="30" t="s">
        <v>62</v>
      </c>
      <c r="D3" s="30" t="s">
        <v>63</v>
      </c>
      <c r="E3" s="30" t="s">
        <v>68</v>
      </c>
      <c r="F3" s="31" t="s">
        <v>64</v>
      </c>
    </row>
    <row r="4" spans="2:6" ht="18" customHeight="1" x14ac:dyDescent="0.3">
      <c r="B4" s="32" t="s">
        <v>59</v>
      </c>
      <c r="C4" s="38">
        <f>'Littoral Analysis (BBHP)'!B24</f>
        <v>104.2</v>
      </c>
      <c r="D4" s="39">
        <f>'Littoral Analysis (BBHP)'!C24</f>
        <v>10349</v>
      </c>
      <c r="E4" s="40" t="s">
        <v>65</v>
      </c>
      <c r="F4" s="74">
        <f>'Littoral Analysis (BBHP)'!C15</f>
        <v>76.593544369859785</v>
      </c>
    </row>
    <row r="5" spans="2:6" ht="18" customHeight="1" x14ac:dyDescent="0.3">
      <c r="B5" s="33" t="s">
        <v>58</v>
      </c>
      <c r="C5" s="41">
        <f>'Littoral Analysis (MDEP-1)'!B24</f>
        <v>104.2</v>
      </c>
      <c r="D5" s="42">
        <f>'Littoral Analysis (MDEP-1)'!C24*(3.28084^2)/43560</f>
        <v>8453.807256457294</v>
      </c>
      <c r="E5" s="43" t="s">
        <v>65</v>
      </c>
      <c r="F5" s="66">
        <f>'Littoral Analysis (MDEP-1)'!C15</f>
        <v>74.819075118268557</v>
      </c>
    </row>
    <row r="6" spans="2:6" ht="18" customHeight="1" x14ac:dyDescent="0.3">
      <c r="B6" s="32" t="s">
        <v>58</v>
      </c>
      <c r="C6" s="38">
        <f>'Littoral Analysis (MDEP-2)'!B24</f>
        <v>104.2</v>
      </c>
      <c r="D6" s="39">
        <f>'Littoral Analysis (MDEP-2)'!C24*(3.28084^2)/43560</f>
        <v>9382.7860760987442</v>
      </c>
      <c r="E6" s="40" t="s">
        <v>66</v>
      </c>
      <c r="F6" s="74">
        <f>'Littoral Analysis (MDEP-2)'!C15</f>
        <v>74.819075118268572</v>
      </c>
    </row>
    <row r="7" spans="2:6" ht="18" customHeight="1" x14ac:dyDescent="0.3">
      <c r="B7" s="33" t="s">
        <v>58</v>
      </c>
      <c r="C7" s="41">
        <f>'Littoral Analysis (MDEP-3)'!B24</f>
        <v>105</v>
      </c>
      <c r="D7" s="42">
        <f>'Littoral Analysis (MDEP-3)'!C24*(3.28084^2)/43560</f>
        <v>9382.7860760987442</v>
      </c>
      <c r="E7" s="43" t="s">
        <v>66</v>
      </c>
      <c r="F7" s="66">
        <f>'Littoral Analysis (MDEP-3)'!C15</f>
        <v>78.760155779371317</v>
      </c>
    </row>
    <row r="8" spans="2:6" ht="18" customHeight="1" thickBot="1" x14ac:dyDescent="0.35">
      <c r="B8" s="34" t="s">
        <v>58</v>
      </c>
      <c r="C8" s="35">
        <f>'Littoral Analysis (MDEP-4)'!B24</f>
        <v>105</v>
      </c>
      <c r="D8" s="36">
        <f>'Littoral Analysis (MDEP-4)'!C24*(3.28084^2)/43560</f>
        <v>9382.7860760987442</v>
      </c>
      <c r="E8" s="37" t="s">
        <v>65</v>
      </c>
      <c r="F8" s="75">
        <f>'Littoral Analysis (MDEP-4)'!C15</f>
        <v>79.441086811541396</v>
      </c>
    </row>
    <row r="22" spans="6:6" x14ac:dyDescent="0.3">
      <c r="F22" t="s">
        <v>69</v>
      </c>
    </row>
  </sheetData>
  <mergeCells count="1">
    <mergeCell ref="B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MDEP Bathymetry</vt:lpstr>
      <vt:lpstr>Littoral Analysis (MDEP-1)</vt:lpstr>
      <vt:lpstr>Littoral Analysis (MDEP-2)</vt:lpstr>
      <vt:lpstr>Littoral Analysis (MDEP-3)</vt:lpstr>
      <vt:lpstr>Littoral Analysis (MDEP-4)</vt:lpstr>
      <vt:lpstr>Littoral Analysis (BBHP)</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Mower, Barry F</dc:creator>
  <cp:lastModifiedBy>Paye, Laura</cp:lastModifiedBy>
  <cp:lastPrinted>2019-10-23T16:22:41Z</cp:lastPrinted>
  <dcterms:created xsi:type="dcterms:W3CDTF">2018-05-25T19:13:39Z</dcterms:created>
  <dcterms:modified xsi:type="dcterms:W3CDTF">2025-07-07T14:25:06Z</dcterms:modified>
</cp:coreProperties>
</file>