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250" activeTab="0"/>
  </bookViews>
  <sheets>
    <sheet name="Tentative-Distribution Schedule" sheetId="1" r:id="rId1"/>
  </sheets>
  <externalReferences>
    <externalReference r:id="rId4"/>
  </externalReferences>
  <definedNames>
    <definedName name="_xlnm.Print_Area" localSheetId="0">'Tentative-Distribution Schedule'!$A$1:$S$30</definedName>
  </definedNames>
  <calcPr fullCalcOnLoad="1"/>
</workbook>
</file>

<file path=xl/sharedStrings.xml><?xml version="1.0" encoding="utf-8"?>
<sst xmlns="http://schemas.openxmlformats.org/spreadsheetml/2006/main" count="47" uniqueCount="36">
  <si>
    <t>Tentative-Distribution Schedule</t>
  </si>
  <si>
    <t>County</t>
  </si>
  <si>
    <t>FY10</t>
  </si>
  <si>
    <t>FY11</t>
  </si>
  <si>
    <t>% Change</t>
  </si>
  <si>
    <t>Investment Fund Contribution</t>
  </si>
  <si>
    <t>"Spirit of Cooperation" Contribution</t>
  </si>
  <si>
    <t>Tentative Reserve</t>
  </si>
  <si>
    <t>1/4</t>
  </si>
  <si>
    <t>1/12</t>
  </si>
  <si>
    <t>TOTAL</t>
  </si>
  <si>
    <t>Andro</t>
  </si>
  <si>
    <t>Aroost</t>
  </si>
  <si>
    <t>Cumb</t>
  </si>
  <si>
    <t>Hancock</t>
  </si>
  <si>
    <t xml:space="preserve">Kennebec  </t>
  </si>
  <si>
    <t>[1]</t>
  </si>
  <si>
    <t xml:space="preserve">Knox </t>
  </si>
  <si>
    <t xml:space="preserve">Penobscot   </t>
  </si>
  <si>
    <t xml:space="preserve">Piscataquis   </t>
  </si>
  <si>
    <t>[2]</t>
  </si>
  <si>
    <t>Somerset</t>
  </si>
  <si>
    <t>Lincoln</t>
  </si>
  <si>
    <t>Sagadhoc</t>
  </si>
  <si>
    <t xml:space="preserve">TBRJ </t>
  </si>
  <si>
    <t>Washington</t>
  </si>
  <si>
    <t xml:space="preserve">York   </t>
  </si>
  <si>
    <t>Board Initiatives</t>
  </si>
  <si>
    <t>Total</t>
  </si>
  <si>
    <t>Mission Change Investment Fund Contribution</t>
  </si>
  <si>
    <t>Franklin</t>
  </si>
  <si>
    <t xml:space="preserve">Oxford </t>
  </si>
  <si>
    <t xml:space="preserve">Waldo </t>
  </si>
  <si>
    <t>Grand Total</t>
  </si>
  <si>
    <t>I/F Reserve</t>
  </si>
  <si>
    <t>FY11 I/F Disbursement - $7.3M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</si>
</sst>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[$-409]dddd\,\ mmmm\ dd\,\ yyyy"/>
    <numFmt numFmtId="173" formatCode="_(&quot;$&quot;* #,##0.000_);_(&quot;$&quot;* \(#,##0.000\);_(&quot;$&quot;* &quot;-&quot;??_);_(@_)"/>
    <numFmt numFmtId="174" formatCode="mmm\-yyyy"/>
    <numFmt numFmtId="175" formatCode="_(&quot;$&quot;* #,##0_);_(&quot;$&quot;* \(#,##0\);_(&quot;$&quot;* &quot;-&quot;??_);_(@_)"/>
    <numFmt numFmtId="176" formatCode="#,##0.0_);[Red]\(#,##0.0\)"/>
    <numFmt numFmtId="177" formatCode="_(&quot;$&quot;* #,##0.0_);_(&quot;$&quot;* \(#,##0.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&quot;$&quot;#,##0.00"/>
    <numFmt numFmtId="181" formatCode="_(&quot;$&quot;* #,##0.0_);_(&quot;$&quot;* \(#,##0.0\);_(&quot;$&quot;* &quot;-&quot;_);_(@_)"/>
    <numFmt numFmtId="182" formatCode="_(&quot;$&quot;* #,##0.00_);_(&quot;$&quot;* \(#,##0.00\);_(&quot;$&quot;* &quot;-&quot;_);_(@_)"/>
    <numFmt numFmtId="183" formatCode="_(&quot;$&quot;* #,##0.000_);_(&quot;$&quot;* \(#,##0.000\);_(&quot;$&quot;* &quot;-&quot;_);_(@_)"/>
    <numFmt numFmtId="184" formatCode="#,##0.0000"/>
    <numFmt numFmtId="185" formatCode="#,##0.00000000_);[Red]\(#,##0.00000000\)"/>
    <numFmt numFmtId="186" formatCode="0_);[Red]\(0\)"/>
    <numFmt numFmtId="187" formatCode="0.0000000000000000%"/>
    <numFmt numFmtId="188" formatCode="#,##0.000000000_);[Red]\(#,##0.000000000\)"/>
    <numFmt numFmtId="189" formatCode="#,##0.00\ ;&quot; (&quot;#,##0.00\);&quot; -&quot;#\ ;@\ "/>
    <numFmt numFmtId="190" formatCode="0.0_);[Red]\(0.0\)"/>
    <numFmt numFmtId="191" formatCode="0.00_);[Red]\(0.00\)"/>
    <numFmt numFmtId="192" formatCode="#,##0;[Red]#,##0"/>
    <numFmt numFmtId="193" formatCode="#,##0.000000000000_);[Red]\(#,##0.000000000000\)"/>
    <numFmt numFmtId="194" formatCode="0.0"/>
    <numFmt numFmtId="195" formatCode="_(* #,##0.0_);_(* \(#,##0.0\);_(* &quot;-&quot;?_);_(@_)"/>
    <numFmt numFmtId="196" formatCode="[$-409]mmmm\ d\,\ yyyy;@"/>
    <numFmt numFmtId="197" formatCode="#,##0.000_);[Red]\(#,##0.000\)"/>
    <numFmt numFmtId="198" formatCode="0.000_);[Red]\(0.000\)"/>
    <numFmt numFmtId="199" formatCode="0.000000000_);[Red]\(0.000000000\)"/>
    <numFmt numFmtId="200" formatCode="_(* #,##0.000_);_(* \(#,##0.000\);_(* &quot;-&quot;???_);_(@_)"/>
    <numFmt numFmtId="201" formatCode="[$-409]mmmmm\-yy;@"/>
    <numFmt numFmtId="202" formatCode="&quot;$&quot;#,##0"/>
    <numFmt numFmtId="203" formatCode="m/d;@"/>
    <numFmt numFmtId="20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28"/>
      <color indexed="9"/>
      <name val="Cambria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1" borderId="3" applyNumberFormat="0" applyFill="0" applyBorder="0" applyProtection="0">
      <alignment horizontal="right" wrapText="1"/>
    </xf>
    <xf numFmtId="0" fontId="5" fillId="19" borderId="3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Fill="0" applyBorder="0" applyProtection="0">
      <alignment horizontal="right" vertical="center" indent="1"/>
    </xf>
    <xf numFmtId="0" fontId="17" fillId="23" borderId="0" applyNumberFormat="0" applyBorder="0" applyAlignment="0" applyProtection="0"/>
    <xf numFmtId="0" fontId="0" fillId="24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8" borderId="11" xfId="0" applyFill="1" applyBorder="1" applyAlignment="1">
      <alignment horizontal="center"/>
    </xf>
    <xf numFmtId="0" fontId="0" fillId="8" borderId="11" xfId="0" applyFill="1" applyBorder="1" applyAlignment="1">
      <alignment/>
    </xf>
    <xf numFmtId="17" fontId="23" fillId="8" borderId="11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/>
    </xf>
    <xf numFmtId="4" fontId="0" fillId="0" borderId="16" xfId="0" applyNumberFormat="1" applyFont="1" applyFill="1" applyBorder="1" applyAlignment="1">
      <alignment horizontal="left" wrapText="1"/>
    </xf>
    <xf numFmtId="38" fontId="0" fillId="0" borderId="0" xfId="0" applyNumberFormat="1" applyBorder="1" applyAlignment="1">
      <alignment/>
    </xf>
    <xf numFmtId="166" fontId="0" fillId="0" borderId="17" xfId="63" applyNumberFormat="1" applyBorder="1" applyAlignment="1">
      <alignment/>
    </xf>
    <xf numFmtId="164" fontId="0" fillId="0" borderId="0" xfId="42" applyNumberFormat="1" applyBorder="1" applyAlignment="1">
      <alignment/>
    </xf>
    <xf numFmtId="164" fontId="0" fillId="0" borderId="18" xfId="42" applyNumberFormat="1" applyBorder="1" applyAlignment="1">
      <alignment/>
    </xf>
    <xf numFmtId="164" fontId="0" fillId="0" borderId="19" xfId="42" applyNumberFormat="1" applyBorder="1" applyAlignment="1">
      <alignment/>
    </xf>
    <xf numFmtId="164" fontId="0" fillId="0" borderId="19" xfId="42" applyNumberFormat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38" fontId="24" fillId="8" borderId="11" xfId="0" applyNumberFormat="1" applyFont="1" applyFill="1" applyBorder="1" applyAlignment="1">
      <alignment/>
    </xf>
    <xf numFmtId="166" fontId="24" fillId="8" borderId="21" xfId="63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4" fillId="0" borderId="15" xfId="0" applyFont="1" applyFill="1" applyBorder="1" applyAlignment="1">
      <alignment horizontal="center" wrapText="1"/>
    </xf>
    <xf numFmtId="4" fontId="0" fillId="0" borderId="22" xfId="0" applyNumberFormat="1" applyFont="1" applyFill="1" applyBorder="1" applyAlignment="1">
      <alignment horizontal="left" wrapText="1"/>
    </xf>
    <xf numFmtId="166" fontId="0" fillId="0" borderId="0" xfId="63" applyNumberFormat="1" applyBorder="1" applyAlignment="1">
      <alignment/>
    </xf>
    <xf numFmtId="4" fontId="0" fillId="0" borderId="18" xfId="0" applyNumberFormat="1" applyFont="1" applyFill="1" applyBorder="1" applyAlignment="1">
      <alignment horizontal="left" wrapText="1"/>
    </xf>
    <xf numFmtId="4" fontId="24" fillId="4" borderId="20" xfId="0" applyNumberFormat="1" applyFont="1" applyFill="1" applyBorder="1" applyAlignment="1">
      <alignment horizontal="left" wrapText="1"/>
    </xf>
    <xf numFmtId="0" fontId="24" fillId="4" borderId="11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24" fillId="0" borderId="2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164" fontId="0" fillId="0" borderId="22" xfId="42" applyNumberFormat="1" applyBorder="1" applyAlignment="1">
      <alignment/>
    </xf>
    <xf numFmtId="164" fontId="0" fillId="0" borderId="0" xfId="42" applyNumberFormat="1" applyBorder="1" applyAlignment="1">
      <alignment/>
    </xf>
    <xf numFmtId="164" fontId="0" fillId="0" borderId="0" xfId="42" applyNumberFormat="1" applyBorder="1" applyAlignment="1">
      <alignment horizontal="center"/>
    </xf>
    <xf numFmtId="164" fontId="0" fillId="0" borderId="17" xfId="42" applyNumberFormat="1" applyBorder="1" applyAlignment="1">
      <alignment/>
    </xf>
    <xf numFmtId="164" fontId="0" fillId="0" borderId="25" xfId="42" applyNumberFormat="1" applyBorder="1" applyAlignment="1">
      <alignment/>
    </xf>
    <xf numFmtId="164" fontId="0" fillId="23" borderId="0" xfId="42" applyNumberFormat="1" applyFill="1" applyBorder="1" applyAlignment="1">
      <alignment/>
    </xf>
    <xf numFmtId="164" fontId="0" fillId="0" borderId="33" xfId="42" applyNumberFormat="1" applyBorder="1" applyAlignment="1">
      <alignment/>
    </xf>
    <xf numFmtId="164" fontId="0" fillId="0" borderId="18" xfId="42" applyNumberFormat="1" applyBorder="1" applyAlignment="1">
      <alignment/>
    </xf>
    <xf numFmtId="164" fontId="24" fillId="8" borderId="11" xfId="42" applyNumberFormat="1" applyFont="1" applyFill="1" applyBorder="1" applyAlignment="1">
      <alignment/>
    </xf>
    <xf numFmtId="164" fontId="24" fillId="8" borderId="11" xfId="42" applyNumberFormat="1" applyFont="1" applyFill="1" applyBorder="1" applyAlignment="1">
      <alignment horizontal="center"/>
    </xf>
    <xf numFmtId="164" fontId="24" fillId="8" borderId="21" xfId="42" applyNumberFormat="1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Alignment="1">
      <alignment horizontal="center"/>
    </xf>
    <xf numFmtId="164" fontId="24" fillId="0" borderId="15" xfId="42" applyNumberFormat="1" applyFont="1" applyBorder="1" applyAlignment="1">
      <alignment horizontal="center" wrapText="1"/>
    </xf>
    <xf numFmtId="164" fontId="0" fillId="0" borderId="15" xfId="42" applyNumberFormat="1" applyBorder="1" applyAlignment="1">
      <alignment/>
    </xf>
    <xf numFmtId="164" fontId="24" fillId="0" borderId="15" xfId="42" applyNumberFormat="1" applyFont="1" applyBorder="1" applyAlignment="1">
      <alignment horizontal="center"/>
    </xf>
    <xf numFmtId="164" fontId="24" fillId="0" borderId="22" xfId="42" applyNumberFormat="1" applyFont="1" applyBorder="1" applyAlignment="1">
      <alignment/>
    </xf>
    <xf numFmtId="164" fontId="24" fillId="0" borderId="18" xfId="42" applyNumberFormat="1" applyFont="1" applyBorder="1" applyAlignment="1">
      <alignment/>
    </xf>
    <xf numFmtId="164" fontId="24" fillId="4" borderId="11" xfId="42" applyNumberFormat="1" applyFont="1" applyFill="1" applyBorder="1" applyAlignment="1">
      <alignment/>
    </xf>
    <xf numFmtId="164" fontId="24" fillId="4" borderId="21" xfId="42" applyNumberFormat="1" applyFont="1" applyFill="1" applyBorder="1" applyAlignment="1">
      <alignment/>
    </xf>
    <xf numFmtId="3" fontId="24" fillId="0" borderId="34" xfId="0" applyNumberFormat="1" applyFont="1" applyFill="1" applyBorder="1" applyAlignment="1">
      <alignment horizontal="center"/>
    </xf>
    <xf numFmtId="164" fontId="0" fillId="0" borderId="34" xfId="42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8" borderId="21" xfId="0" applyFill="1" applyBorder="1" applyAlignment="1">
      <alignment/>
    </xf>
    <xf numFmtId="164" fontId="24" fillId="8" borderId="36" xfId="42" applyNumberFormat="1" applyFont="1" applyFill="1" applyBorder="1" applyAlignment="1">
      <alignment/>
    </xf>
    <xf numFmtId="164" fontId="24" fillId="8" borderId="37" xfId="42" applyNumberFormat="1" applyFont="1" applyFill="1" applyBorder="1" applyAlignment="1">
      <alignment/>
    </xf>
    <xf numFmtId="164" fontId="24" fillId="0" borderId="0" xfId="42" applyNumberFormat="1" applyFont="1" applyBorder="1" applyAlignment="1">
      <alignment/>
    </xf>
    <xf numFmtId="0" fontId="23" fillId="8" borderId="20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_holiday" xfId="47"/>
    <cellStyle name="Days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Month_name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-BOC-FY10\1-FY11%20Budget%20Submissions\1-BOC%20FY11%20Draft%20Budget%20&amp;%20FY10%20Projections%207-13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F Summary"/>
      <sheetName val="5$M Target"/>
      <sheetName val="Summary"/>
      <sheetName val="County by County"/>
      <sheetName val="FY10 Projections 5-5-10"/>
      <sheetName val="Board Needs"/>
      <sheetName val="vs. FY10 Funding"/>
      <sheetName val="Marginal Cost"/>
      <sheetName val="Androscoggin "/>
      <sheetName val="Aroostook "/>
      <sheetName val="Cumberland  "/>
      <sheetName val="Franklin  "/>
      <sheetName val="Hancock  "/>
      <sheetName val="Kennebec  "/>
      <sheetName val="Knox  "/>
      <sheetName val="Oxford  "/>
      <sheetName val="Penobscot  "/>
      <sheetName val="Piscataquis "/>
      <sheetName val="Somerset  "/>
      <sheetName val="Two Bridges Regional Jail  "/>
      <sheetName val="Waldo "/>
      <sheetName val="Washington   "/>
      <sheetName val="York  "/>
      <sheetName val="MDOC"/>
      <sheetName val="Per Diem Calculation"/>
      <sheetName val="FY11 POSITION COUNT"/>
      <sheetName val="Federal"/>
      <sheetName val="Request Chronology"/>
      <sheetName val="Sheet1"/>
      <sheetName val="Tentative-Distribution Schedule"/>
    </sheetNames>
    <sheetDataSet>
      <sheetData sheetId="3">
        <row r="4">
          <cell r="G4">
            <v>5405327.941739131</v>
          </cell>
          <cell r="K4">
            <v>697532</v>
          </cell>
          <cell r="L4">
            <v>5579829.78</v>
          </cell>
        </row>
        <row r="31">
          <cell r="G31">
            <v>2982429.15</v>
          </cell>
          <cell r="K31">
            <v>362311</v>
          </cell>
          <cell r="L31">
            <v>3119521</v>
          </cell>
        </row>
        <row r="58">
          <cell r="G58">
            <v>17744372.095978428</v>
          </cell>
          <cell r="K58">
            <v>879118</v>
          </cell>
          <cell r="L58">
            <v>17233793</v>
          </cell>
        </row>
        <row r="84">
          <cell r="G84">
            <v>1193637</v>
          </cell>
          <cell r="K84">
            <v>-613718</v>
          </cell>
          <cell r="L84">
            <v>1146500</v>
          </cell>
        </row>
        <row r="111">
          <cell r="G111">
            <v>2149584</v>
          </cell>
          <cell r="K111">
            <v>210327</v>
          </cell>
          <cell r="L111">
            <v>2196261</v>
          </cell>
        </row>
        <row r="138">
          <cell r="G138">
            <v>6359241</v>
          </cell>
          <cell r="K138">
            <v>561718</v>
          </cell>
          <cell r="L138">
            <v>6614401</v>
          </cell>
        </row>
        <row r="165">
          <cell r="G165">
            <v>3702428</v>
          </cell>
          <cell r="K165">
            <v>136861</v>
          </cell>
          <cell r="L165">
            <v>3712697</v>
          </cell>
        </row>
        <row r="192">
          <cell r="G192">
            <v>1264218</v>
          </cell>
          <cell r="K192">
            <v>-202011.41</v>
          </cell>
          <cell r="L192">
            <v>1312221.59</v>
          </cell>
        </row>
        <row r="219">
          <cell r="G219">
            <v>7144492</v>
          </cell>
          <cell r="K219">
            <v>200000</v>
          </cell>
          <cell r="L219">
            <v>7400152</v>
          </cell>
        </row>
        <row r="222">
          <cell r="K222">
            <v>150000</v>
          </cell>
        </row>
        <row r="247">
          <cell r="G247">
            <v>1475819</v>
          </cell>
          <cell r="K247">
            <v>288157</v>
          </cell>
          <cell r="L247">
            <v>1461673</v>
          </cell>
        </row>
        <row r="274">
          <cell r="G274">
            <v>5848891.035714285</v>
          </cell>
          <cell r="K274">
            <v>403225</v>
          </cell>
          <cell r="L274">
            <v>6367603</v>
          </cell>
        </row>
        <row r="301">
          <cell r="G301">
            <v>6913394.6141882455</v>
          </cell>
          <cell r="K301">
            <v>1399161</v>
          </cell>
          <cell r="L301">
            <v>7031165</v>
          </cell>
        </row>
        <row r="328">
          <cell r="G328">
            <v>435520</v>
          </cell>
          <cell r="K328">
            <v>0</v>
          </cell>
          <cell r="L328">
            <v>434808</v>
          </cell>
        </row>
        <row r="355">
          <cell r="G355">
            <v>499722</v>
          </cell>
          <cell r="K355">
            <v>0</v>
          </cell>
          <cell r="L355">
            <v>453511</v>
          </cell>
        </row>
        <row r="382">
          <cell r="G382">
            <v>2139521.32</v>
          </cell>
          <cell r="K382">
            <v>-897307</v>
          </cell>
          <cell r="L382">
            <v>2157360.628826496</v>
          </cell>
        </row>
        <row r="409">
          <cell r="G409">
            <v>2161008.1</v>
          </cell>
          <cell r="K409">
            <v>53337</v>
          </cell>
          <cell r="L409">
            <v>2194500.0072725834</v>
          </cell>
        </row>
        <row r="436">
          <cell r="G436">
            <v>10692326</v>
          </cell>
          <cell r="K436">
            <v>400000.32499999925</v>
          </cell>
          <cell r="L436">
            <v>10630842.325</v>
          </cell>
        </row>
        <row r="439">
          <cell r="K439">
            <v>225000</v>
          </cell>
        </row>
      </sheetData>
      <sheetData sheetId="5">
        <row r="18">
          <cell r="B18">
            <v>399999.8</v>
          </cell>
        </row>
      </sheetData>
      <sheetData sheetId="6">
        <row r="19">
          <cell r="G19">
            <v>384986</v>
          </cell>
        </row>
      </sheetData>
      <sheetData sheetId="13">
        <row r="321">
          <cell r="E321">
            <v>-50000</v>
          </cell>
        </row>
      </sheetData>
      <sheetData sheetId="19">
        <row r="343">
          <cell r="M343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14.28125" style="0" customWidth="1"/>
    <col min="2" max="2" width="14.421875" style="0" hidden="1" customWidth="1"/>
    <col min="3" max="3" width="15.140625" style="0" hidden="1" customWidth="1"/>
    <col min="4" max="4" width="12.8515625" style="0" hidden="1" customWidth="1"/>
    <col min="5" max="5" width="16.140625" style="0" bestFit="1" customWidth="1"/>
    <col min="6" max="6" width="14.8515625" style="0" hidden="1" customWidth="1"/>
    <col min="7" max="7" width="4.140625" style="19" hidden="1" customWidth="1"/>
    <col min="8" max="8" width="15.28125" style="0" hidden="1" customWidth="1"/>
    <col min="9" max="10" width="10.28125" style="0" bestFit="1" customWidth="1"/>
    <col min="11" max="14" width="8.7109375" style="0" bestFit="1" customWidth="1"/>
    <col min="15" max="15" width="11.28125" style="0" customWidth="1"/>
    <col min="16" max="16" width="9.28125" style="0" bestFit="1" customWidth="1"/>
    <col min="17" max="17" width="10.8515625" style="0" bestFit="1" customWidth="1"/>
    <col min="18" max="18" width="12.8515625" style="28" bestFit="1" customWidth="1"/>
    <col min="19" max="19" width="12.8515625" style="0" bestFit="1" customWidth="1"/>
  </cols>
  <sheetData>
    <row r="1" spans="1:19" ht="14.25" thickBot="1" thickTop="1">
      <c r="A1" s="67" t="s">
        <v>0</v>
      </c>
      <c r="B1" s="68"/>
      <c r="C1" s="68"/>
      <c r="D1" s="68"/>
      <c r="E1" s="68"/>
      <c r="F1" s="2"/>
      <c r="G1" s="1"/>
      <c r="H1" s="2"/>
      <c r="I1" s="3">
        <v>40360</v>
      </c>
      <c r="J1" s="3">
        <v>40452</v>
      </c>
      <c r="K1" s="3">
        <v>40544</v>
      </c>
      <c r="L1" s="3">
        <v>40575</v>
      </c>
      <c r="M1" s="3">
        <v>40603</v>
      </c>
      <c r="N1" s="3">
        <v>40634</v>
      </c>
      <c r="O1" s="3">
        <v>40664</v>
      </c>
      <c r="P1" s="3">
        <v>40695</v>
      </c>
      <c r="Q1" s="63"/>
      <c r="R1" s="62"/>
      <c r="S1" s="30"/>
    </row>
    <row r="2" spans="1:19" ht="31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/>
      <c r="H2" s="6" t="s">
        <v>7</v>
      </c>
      <c r="I2" s="8" t="s">
        <v>8</v>
      </c>
      <c r="J2" s="8" t="s">
        <v>8</v>
      </c>
      <c r="K2" s="8" t="s">
        <v>9</v>
      </c>
      <c r="L2" s="8" t="s">
        <v>9</v>
      </c>
      <c r="M2" s="8" t="s">
        <v>9</v>
      </c>
      <c r="N2" s="8" t="s">
        <v>9</v>
      </c>
      <c r="O2" s="8" t="s">
        <v>9</v>
      </c>
      <c r="P2" s="8" t="s">
        <v>9</v>
      </c>
      <c r="Q2" s="8" t="s">
        <v>10</v>
      </c>
      <c r="R2" s="60" t="s">
        <v>34</v>
      </c>
      <c r="S2" s="31"/>
    </row>
    <row r="3" spans="1:19" ht="12.75">
      <c r="A3" s="9" t="s">
        <v>11</v>
      </c>
      <c r="B3" s="10">
        <f>+'[1]County by County'!G4</f>
        <v>5405327.941739131</v>
      </c>
      <c r="C3" s="10">
        <f>+'[1]County by County'!L4</f>
        <v>5579829.78</v>
      </c>
      <c r="D3" s="11">
        <f aca="true" t="shared" si="0" ref="D3:D18">(+C3-B3)/B3</f>
        <v>0.03228330272311371</v>
      </c>
      <c r="E3" s="40">
        <f>+'[1]County by County'!K4</f>
        <v>697532</v>
      </c>
      <c r="F3" s="41"/>
      <c r="G3" s="42"/>
      <c r="H3" s="43"/>
      <c r="I3" s="40">
        <f aca="true" t="shared" si="1" ref="I3:I15">ROUNDUP(E3/4,2)</f>
        <v>174383</v>
      </c>
      <c r="J3" s="40">
        <f aca="true" t="shared" si="2" ref="J3:J15">ROUNDUP(E3/4,2)</f>
        <v>174383</v>
      </c>
      <c r="K3" s="40">
        <f aca="true" t="shared" si="3" ref="K3:K15">ROUNDUP(E3/12,2)</f>
        <v>58127.670000000006</v>
      </c>
      <c r="L3" s="40">
        <f aca="true" t="shared" si="4" ref="L3:L15">ROUNDUP(E3/12,2)</f>
        <v>58127.670000000006</v>
      </c>
      <c r="M3" s="40">
        <f aca="true" t="shared" si="5" ref="M3:M15">ROUNDUP(E3/12,2)</f>
        <v>58127.670000000006</v>
      </c>
      <c r="N3" s="40">
        <f aca="true" t="shared" si="6" ref="N3:N15">ROUNDUP(E3/12,2)</f>
        <v>58127.670000000006</v>
      </c>
      <c r="O3" s="40">
        <f aca="true" t="shared" si="7" ref="O3:O15">ROUNDUP(E3/12,2)</f>
        <v>58127.670000000006</v>
      </c>
      <c r="P3" s="40">
        <f>ROUNDUP(E3/12,2)-0.02</f>
        <v>58127.65000000001</v>
      </c>
      <c r="Q3" s="56">
        <f aca="true" t="shared" si="8" ref="Q3:Q16">SUM(I3:P3)</f>
        <v>697532</v>
      </c>
      <c r="R3" s="61"/>
      <c r="S3" s="44"/>
    </row>
    <row r="4" spans="1:19" ht="12.75">
      <c r="A4" s="9" t="s">
        <v>12</v>
      </c>
      <c r="B4" s="10">
        <f>+'[1]County by County'!G31</f>
        <v>2982429.15</v>
      </c>
      <c r="C4" s="10">
        <f>+'[1]County by County'!L31</f>
        <v>3119521</v>
      </c>
      <c r="D4" s="11">
        <f t="shared" si="0"/>
        <v>0.04596650686572055</v>
      </c>
      <c r="E4" s="40">
        <f>+'[1]County by County'!K31</f>
        <v>362311</v>
      </c>
      <c r="F4" s="41"/>
      <c r="G4" s="42"/>
      <c r="H4" s="43"/>
      <c r="I4" s="40">
        <f t="shared" si="1"/>
        <v>90577.75</v>
      </c>
      <c r="J4" s="40">
        <f t="shared" si="2"/>
        <v>90577.75</v>
      </c>
      <c r="K4" s="40">
        <f t="shared" si="3"/>
        <v>30192.59</v>
      </c>
      <c r="L4" s="40">
        <f t="shared" si="4"/>
        <v>30192.59</v>
      </c>
      <c r="M4" s="40">
        <f t="shared" si="5"/>
        <v>30192.59</v>
      </c>
      <c r="N4" s="40">
        <f t="shared" si="6"/>
        <v>30192.59</v>
      </c>
      <c r="O4" s="40">
        <f t="shared" si="7"/>
        <v>30192.59</v>
      </c>
      <c r="P4" s="40">
        <f>ROUNDUP(E4/12,2)-0.04</f>
        <v>30192.55</v>
      </c>
      <c r="Q4" s="56">
        <f t="shared" si="8"/>
        <v>362311.00000000006</v>
      </c>
      <c r="R4" s="61"/>
      <c r="S4" s="44"/>
    </row>
    <row r="5" spans="1:19" ht="12.75">
      <c r="A5" s="9" t="s">
        <v>13</v>
      </c>
      <c r="B5" s="10">
        <f>+'[1]County by County'!G58</f>
        <v>17744372.095978428</v>
      </c>
      <c r="C5" s="10">
        <f>+'[1]County by County'!L58</f>
        <v>17233793</v>
      </c>
      <c r="D5" s="11">
        <f t="shared" si="0"/>
        <v>-0.02877414276575867</v>
      </c>
      <c r="E5" s="40">
        <f>+'[1]County by County'!K58</f>
        <v>879118</v>
      </c>
      <c r="F5" s="41"/>
      <c r="G5" s="42"/>
      <c r="H5" s="43">
        <v>1000000</v>
      </c>
      <c r="I5" s="40">
        <f t="shared" si="1"/>
        <v>219779.5</v>
      </c>
      <c r="J5" s="40">
        <f t="shared" si="2"/>
        <v>219779.5</v>
      </c>
      <c r="K5" s="40">
        <f t="shared" si="3"/>
        <v>73259.84</v>
      </c>
      <c r="L5" s="40">
        <f t="shared" si="4"/>
        <v>73259.84</v>
      </c>
      <c r="M5" s="40">
        <f t="shared" si="5"/>
        <v>73259.84</v>
      </c>
      <c r="N5" s="40">
        <f t="shared" si="6"/>
        <v>73259.84</v>
      </c>
      <c r="O5" s="40">
        <f t="shared" si="7"/>
        <v>73259.84</v>
      </c>
      <c r="P5" s="40">
        <f>ROUNDUP(E5/12,2)-0.04</f>
        <v>73259.8</v>
      </c>
      <c r="Q5" s="56">
        <f t="shared" si="8"/>
        <v>879117.9999999999</v>
      </c>
      <c r="R5" s="61">
        <v>1000000</v>
      </c>
      <c r="S5" s="44"/>
    </row>
    <row r="6" spans="1:19" ht="12.75">
      <c r="A6" s="9" t="s">
        <v>14</v>
      </c>
      <c r="B6" s="10">
        <f>+'[1]County by County'!G111</f>
        <v>2149584</v>
      </c>
      <c r="C6" s="10">
        <f>+'[1]County by County'!L111</f>
        <v>2196261</v>
      </c>
      <c r="D6" s="11">
        <f t="shared" si="0"/>
        <v>0.021714434048634528</v>
      </c>
      <c r="E6" s="40">
        <f>+'[1]County by County'!K111</f>
        <v>210327</v>
      </c>
      <c r="F6" s="41"/>
      <c r="G6" s="42"/>
      <c r="H6" s="43"/>
      <c r="I6" s="40">
        <f t="shared" si="1"/>
        <v>52581.75</v>
      </c>
      <c r="J6" s="40">
        <f t="shared" si="2"/>
        <v>52581.75</v>
      </c>
      <c r="K6" s="40">
        <f t="shared" si="3"/>
        <v>17527.25</v>
      </c>
      <c r="L6" s="40">
        <f t="shared" si="4"/>
        <v>17527.25</v>
      </c>
      <c r="M6" s="40">
        <f t="shared" si="5"/>
        <v>17527.25</v>
      </c>
      <c r="N6" s="40">
        <f t="shared" si="6"/>
        <v>17527.25</v>
      </c>
      <c r="O6" s="40">
        <f t="shared" si="7"/>
        <v>17527.25</v>
      </c>
      <c r="P6" s="40">
        <f>ROUNDUP(E6/12,2)</f>
        <v>17527.25</v>
      </c>
      <c r="Q6" s="56">
        <f t="shared" si="8"/>
        <v>210327</v>
      </c>
      <c r="R6" s="61"/>
      <c r="S6" s="44"/>
    </row>
    <row r="7" spans="1:19" ht="12.75">
      <c r="A7" s="9" t="s">
        <v>15</v>
      </c>
      <c r="B7" s="10">
        <f>+'[1]County by County'!G138</f>
        <v>6359241</v>
      </c>
      <c r="C7" s="10">
        <f>+'[1]County by County'!L138</f>
        <v>6614401</v>
      </c>
      <c r="D7" s="11">
        <f t="shared" si="0"/>
        <v>0.040124285272409084</v>
      </c>
      <c r="E7" s="40">
        <f>+'[1]County by County'!K138</f>
        <v>561718</v>
      </c>
      <c r="F7" s="41">
        <f>+'[1]Kennebec  '!E321</f>
        <v>-50000</v>
      </c>
      <c r="G7" s="42" t="s">
        <v>16</v>
      </c>
      <c r="H7" s="43"/>
      <c r="I7" s="40">
        <f t="shared" si="1"/>
        <v>140429.5</v>
      </c>
      <c r="J7" s="40">
        <f t="shared" si="2"/>
        <v>140429.5</v>
      </c>
      <c r="K7" s="40">
        <f t="shared" si="3"/>
        <v>46809.840000000004</v>
      </c>
      <c r="L7" s="40">
        <f t="shared" si="4"/>
        <v>46809.840000000004</v>
      </c>
      <c r="M7" s="40">
        <f t="shared" si="5"/>
        <v>46809.840000000004</v>
      </c>
      <c r="N7" s="40">
        <f t="shared" si="6"/>
        <v>46809.840000000004</v>
      </c>
      <c r="O7" s="40">
        <f t="shared" si="7"/>
        <v>46809.840000000004</v>
      </c>
      <c r="P7" s="40">
        <f>ROUNDUP(E7/12,2)-0.04</f>
        <v>46809.8</v>
      </c>
      <c r="Q7" s="56">
        <f t="shared" si="8"/>
        <v>561718.0000000001</v>
      </c>
      <c r="R7" s="61"/>
      <c r="S7" s="44"/>
    </row>
    <row r="8" spans="1:19" ht="12.75">
      <c r="A8" s="9" t="s">
        <v>17</v>
      </c>
      <c r="B8" s="10">
        <f>+'[1]County by County'!G165</f>
        <v>3702428</v>
      </c>
      <c r="C8" s="10">
        <f>+'[1]County by County'!L165</f>
        <v>3712697</v>
      </c>
      <c r="D8" s="11">
        <f t="shared" si="0"/>
        <v>0.0027735853337323506</v>
      </c>
      <c r="E8" s="40">
        <f>+'[1]County by County'!K165</f>
        <v>136861</v>
      </c>
      <c r="F8" s="41"/>
      <c r="G8" s="42"/>
      <c r="H8" s="43"/>
      <c r="I8" s="40">
        <f t="shared" si="1"/>
        <v>34215.25</v>
      </c>
      <c r="J8" s="40">
        <f t="shared" si="2"/>
        <v>34215.25</v>
      </c>
      <c r="K8" s="40">
        <f t="shared" si="3"/>
        <v>11405.09</v>
      </c>
      <c r="L8" s="40">
        <f t="shared" si="4"/>
        <v>11405.09</v>
      </c>
      <c r="M8" s="40">
        <f t="shared" si="5"/>
        <v>11405.09</v>
      </c>
      <c r="N8" s="40">
        <f t="shared" si="6"/>
        <v>11405.09</v>
      </c>
      <c r="O8" s="40">
        <f t="shared" si="7"/>
        <v>11405.09</v>
      </c>
      <c r="P8" s="40">
        <f>ROUNDUP(E8/12,2)-0.04</f>
        <v>11405.05</v>
      </c>
      <c r="Q8" s="56">
        <f t="shared" si="8"/>
        <v>136860.99999999997</v>
      </c>
      <c r="R8" s="61"/>
      <c r="S8" s="44"/>
    </row>
    <row r="9" spans="1:19" ht="12.75">
      <c r="A9" s="9" t="s">
        <v>18</v>
      </c>
      <c r="B9" s="10">
        <f>+'[1]County by County'!G219</f>
        <v>7144492</v>
      </c>
      <c r="C9" s="10">
        <f>+'[1]County by County'!L219</f>
        <v>7400152</v>
      </c>
      <c r="D9" s="11">
        <f t="shared" si="0"/>
        <v>0.03578420971008155</v>
      </c>
      <c r="E9" s="40">
        <f>+'[1]County by County'!K219</f>
        <v>200000</v>
      </c>
      <c r="F9" s="45"/>
      <c r="G9" s="42"/>
      <c r="H9" s="43">
        <f>+'[1]County by County'!K222</f>
        <v>150000</v>
      </c>
      <c r="I9" s="40">
        <f t="shared" si="1"/>
        <v>50000</v>
      </c>
      <c r="J9" s="40">
        <f t="shared" si="2"/>
        <v>50000</v>
      </c>
      <c r="K9" s="40">
        <f t="shared" si="3"/>
        <v>16666.67</v>
      </c>
      <c r="L9" s="40">
        <f t="shared" si="4"/>
        <v>16666.67</v>
      </c>
      <c r="M9" s="40">
        <f t="shared" si="5"/>
        <v>16666.67</v>
      </c>
      <c r="N9" s="40">
        <f t="shared" si="6"/>
        <v>16666.67</v>
      </c>
      <c r="O9" s="40">
        <f t="shared" si="7"/>
        <v>16666.67</v>
      </c>
      <c r="P9" s="40">
        <f>ROUNDUP(E9/12,2)-0.02</f>
        <v>16666.649999999998</v>
      </c>
      <c r="Q9" s="56">
        <f t="shared" si="8"/>
        <v>199999.99999999997</v>
      </c>
      <c r="R9" s="61">
        <v>150000</v>
      </c>
      <c r="S9" s="44"/>
    </row>
    <row r="10" spans="1:19" ht="12.75">
      <c r="A10" s="9" t="s">
        <v>19</v>
      </c>
      <c r="B10" s="10">
        <f>+'[1]County by County'!G247</f>
        <v>1475819</v>
      </c>
      <c r="C10" s="10">
        <f>+'[1]County by County'!L247</f>
        <v>1461673</v>
      </c>
      <c r="D10" s="11">
        <f t="shared" si="0"/>
        <v>-0.009585186259290604</v>
      </c>
      <c r="E10" s="40">
        <f>+'[1]County by County'!K247</f>
        <v>288157</v>
      </c>
      <c r="F10" s="41">
        <v>-50000</v>
      </c>
      <c r="G10" s="42" t="s">
        <v>20</v>
      </c>
      <c r="H10" s="43"/>
      <c r="I10" s="40">
        <f t="shared" si="1"/>
        <v>72039.25</v>
      </c>
      <c r="J10" s="40">
        <f t="shared" si="2"/>
        <v>72039.25</v>
      </c>
      <c r="K10" s="40">
        <f t="shared" si="3"/>
        <v>24013.09</v>
      </c>
      <c r="L10" s="40">
        <f t="shared" si="4"/>
        <v>24013.09</v>
      </c>
      <c r="M10" s="40">
        <f t="shared" si="5"/>
        <v>24013.09</v>
      </c>
      <c r="N10" s="40">
        <f t="shared" si="6"/>
        <v>24013.09</v>
      </c>
      <c r="O10" s="40">
        <f t="shared" si="7"/>
        <v>24013.09</v>
      </c>
      <c r="P10" s="40">
        <f>ROUNDUP(E10/12,2)-0.04</f>
        <v>24013.05</v>
      </c>
      <c r="Q10" s="56">
        <f t="shared" si="8"/>
        <v>288157</v>
      </c>
      <c r="R10" s="61"/>
      <c r="S10" s="44"/>
    </row>
    <row r="11" spans="1:19" ht="12.75">
      <c r="A11" s="9" t="s">
        <v>21</v>
      </c>
      <c r="B11" s="10">
        <f>+'[1]County by County'!G274</f>
        <v>5848891.035714285</v>
      </c>
      <c r="C11" s="10">
        <f>+'[1]County by County'!L274</f>
        <v>6367603</v>
      </c>
      <c r="D11" s="11">
        <f t="shared" si="0"/>
        <v>0.08868552365198368</v>
      </c>
      <c r="E11" s="40">
        <f>+'[1]County by County'!K274</f>
        <v>403225</v>
      </c>
      <c r="F11" s="41"/>
      <c r="G11" s="42"/>
      <c r="H11" s="43"/>
      <c r="I11" s="40">
        <f t="shared" si="1"/>
        <v>100806.25</v>
      </c>
      <c r="J11" s="40">
        <f t="shared" si="2"/>
        <v>100806.25</v>
      </c>
      <c r="K11" s="40">
        <f t="shared" si="3"/>
        <v>33602.090000000004</v>
      </c>
      <c r="L11" s="40">
        <f t="shared" si="4"/>
        <v>33602.090000000004</v>
      </c>
      <c r="M11" s="40">
        <f t="shared" si="5"/>
        <v>33602.090000000004</v>
      </c>
      <c r="N11" s="40">
        <f t="shared" si="6"/>
        <v>33602.090000000004</v>
      </c>
      <c r="O11" s="40">
        <f t="shared" si="7"/>
        <v>33602.090000000004</v>
      </c>
      <c r="P11" s="40">
        <f>ROUNDUP(E11/12,2)-0.04</f>
        <v>33602.05</v>
      </c>
      <c r="Q11" s="56">
        <f t="shared" si="8"/>
        <v>403225.00000000006</v>
      </c>
      <c r="R11" s="61"/>
      <c r="S11" s="44"/>
    </row>
    <row r="12" spans="1:19" ht="12.75">
      <c r="A12" s="9" t="s">
        <v>22</v>
      </c>
      <c r="B12" s="10">
        <f>+'[1]County by County'!G328</f>
        <v>435520</v>
      </c>
      <c r="C12" s="10">
        <f>+'[1]County by County'!L328</f>
        <v>434808</v>
      </c>
      <c r="D12" s="11">
        <f t="shared" si="0"/>
        <v>-0.0016348273328434975</v>
      </c>
      <c r="E12" s="40">
        <f>+'[1]County by County'!K328</f>
        <v>0</v>
      </c>
      <c r="F12" s="41"/>
      <c r="G12" s="42"/>
      <c r="H12" s="43"/>
      <c r="I12" s="40">
        <f t="shared" si="1"/>
        <v>0</v>
      </c>
      <c r="J12" s="40">
        <f t="shared" si="2"/>
        <v>0</v>
      </c>
      <c r="K12" s="40">
        <f t="shared" si="3"/>
        <v>0</v>
      </c>
      <c r="L12" s="40">
        <f t="shared" si="4"/>
        <v>0</v>
      </c>
      <c r="M12" s="40">
        <f t="shared" si="5"/>
        <v>0</v>
      </c>
      <c r="N12" s="40">
        <f t="shared" si="6"/>
        <v>0</v>
      </c>
      <c r="O12" s="40">
        <f t="shared" si="7"/>
        <v>0</v>
      </c>
      <c r="P12" s="40">
        <f>ROUNDUP(E12/12,2)</f>
        <v>0</v>
      </c>
      <c r="Q12" s="56">
        <f t="shared" si="8"/>
        <v>0</v>
      </c>
      <c r="R12" s="61"/>
      <c r="S12" s="44"/>
    </row>
    <row r="13" spans="1:19" ht="12.75">
      <c r="A13" s="9" t="s">
        <v>23</v>
      </c>
      <c r="B13" s="10">
        <f>+'[1]County by County'!G355</f>
        <v>499722</v>
      </c>
      <c r="C13" s="10">
        <f>+'[1]County by County'!L355</f>
        <v>453511</v>
      </c>
      <c r="D13" s="11">
        <f t="shared" si="0"/>
        <v>-0.09247341521886168</v>
      </c>
      <c r="E13" s="40">
        <f>+'[1]County by County'!K355</f>
        <v>0</v>
      </c>
      <c r="F13" s="41"/>
      <c r="G13" s="42"/>
      <c r="H13" s="43"/>
      <c r="I13" s="40">
        <f t="shared" si="1"/>
        <v>0</v>
      </c>
      <c r="J13" s="40">
        <f t="shared" si="2"/>
        <v>0</v>
      </c>
      <c r="K13" s="40">
        <f t="shared" si="3"/>
        <v>0</v>
      </c>
      <c r="L13" s="40">
        <f t="shared" si="4"/>
        <v>0</v>
      </c>
      <c r="M13" s="40">
        <f t="shared" si="5"/>
        <v>0</v>
      </c>
      <c r="N13" s="40">
        <f t="shared" si="6"/>
        <v>0</v>
      </c>
      <c r="O13" s="40">
        <f t="shared" si="7"/>
        <v>0</v>
      </c>
      <c r="P13" s="40">
        <f>ROUNDUP(E13/12,2)</f>
        <v>0</v>
      </c>
      <c r="Q13" s="56">
        <f t="shared" si="8"/>
        <v>0</v>
      </c>
      <c r="R13" s="61">
        <v>300000</v>
      </c>
      <c r="S13" s="44"/>
    </row>
    <row r="14" spans="1:19" ht="12.75">
      <c r="A14" s="9" t="s">
        <v>24</v>
      </c>
      <c r="B14" s="10">
        <f>+'[1]County by County'!G301</f>
        <v>6913394.6141882455</v>
      </c>
      <c r="C14" s="10">
        <f>+'[1]County by County'!L301</f>
        <v>7031165</v>
      </c>
      <c r="D14" s="11">
        <f t="shared" si="0"/>
        <v>0.01703510249075849</v>
      </c>
      <c r="E14" s="40">
        <f>+'[1]County by County'!K301</f>
        <v>1399161</v>
      </c>
      <c r="F14" s="41"/>
      <c r="G14" s="42"/>
      <c r="H14" s="43">
        <f>+'[1]Two Bridges Regional Jail  '!M343</f>
        <v>300000</v>
      </c>
      <c r="I14" s="40">
        <f t="shared" si="1"/>
        <v>349790.25</v>
      </c>
      <c r="J14" s="40">
        <f t="shared" si="2"/>
        <v>349790.25</v>
      </c>
      <c r="K14" s="40">
        <f t="shared" si="3"/>
        <v>116596.75</v>
      </c>
      <c r="L14" s="40">
        <f t="shared" si="4"/>
        <v>116596.75</v>
      </c>
      <c r="M14" s="40">
        <f t="shared" si="5"/>
        <v>116596.75</v>
      </c>
      <c r="N14" s="40">
        <f t="shared" si="6"/>
        <v>116596.75</v>
      </c>
      <c r="O14" s="40">
        <f t="shared" si="7"/>
        <v>116596.75</v>
      </c>
      <c r="P14" s="40">
        <f>ROUNDUP(E14/12,2)</f>
        <v>116596.75</v>
      </c>
      <c r="Q14" s="56">
        <f t="shared" si="8"/>
        <v>1399161</v>
      </c>
      <c r="R14" s="61"/>
      <c r="S14" s="44"/>
    </row>
    <row r="15" spans="1:19" ht="12.75">
      <c r="A15" s="9" t="s">
        <v>25</v>
      </c>
      <c r="B15" s="10">
        <f>+'[1]County by County'!G409</f>
        <v>2161008.1</v>
      </c>
      <c r="C15" s="10">
        <f>+'[1]County by County'!L409</f>
        <v>2194500.0072725834</v>
      </c>
      <c r="D15" s="11">
        <f t="shared" si="0"/>
        <v>0.015498279378306513</v>
      </c>
      <c r="E15" s="40">
        <f>+'[1]County by County'!K409</f>
        <v>53337</v>
      </c>
      <c r="F15" s="41"/>
      <c r="G15" s="42"/>
      <c r="H15" s="43"/>
      <c r="I15" s="40">
        <f t="shared" si="1"/>
        <v>13334.25</v>
      </c>
      <c r="J15" s="40">
        <f t="shared" si="2"/>
        <v>13334.25</v>
      </c>
      <c r="K15" s="40">
        <f t="shared" si="3"/>
        <v>4444.75</v>
      </c>
      <c r="L15" s="40">
        <f t="shared" si="4"/>
        <v>4444.75</v>
      </c>
      <c r="M15" s="40">
        <f t="shared" si="5"/>
        <v>4444.75</v>
      </c>
      <c r="N15" s="40">
        <f t="shared" si="6"/>
        <v>4444.75</v>
      </c>
      <c r="O15" s="40">
        <f t="shared" si="7"/>
        <v>4444.75</v>
      </c>
      <c r="P15" s="40">
        <f>ROUNDUP(E15/12,2)</f>
        <v>4444.75</v>
      </c>
      <c r="Q15" s="56">
        <f t="shared" si="8"/>
        <v>53337</v>
      </c>
      <c r="R15" s="61"/>
      <c r="S15" s="44"/>
    </row>
    <row r="16" spans="1:19" ht="12.75">
      <c r="A16" s="9" t="s">
        <v>26</v>
      </c>
      <c r="B16" s="10">
        <f>+'[1]County by County'!G436</f>
        <v>10692326</v>
      </c>
      <c r="C16" s="10">
        <f>+'[1]County by County'!L436</f>
        <v>10630842.325</v>
      </c>
      <c r="D16" s="11">
        <f t="shared" si="0"/>
        <v>-0.005750261916817795</v>
      </c>
      <c r="E16" s="40">
        <f>+'[1]County by County'!K436</f>
        <v>400000.32499999925</v>
      </c>
      <c r="F16" s="45"/>
      <c r="G16" s="42"/>
      <c r="H16" s="43">
        <f>+'[1]County by County'!K439</f>
        <v>225000</v>
      </c>
      <c r="I16" s="40">
        <f>ROUNDUP(E16/4,2)-0.09</f>
        <v>100000</v>
      </c>
      <c r="J16" s="40">
        <f>ROUNDUP(E16/4,2)-0.09</f>
        <v>100000</v>
      </c>
      <c r="K16" s="40">
        <f>ROUNDUP(E16/12,2)-0.03</f>
        <v>33333.340000000004</v>
      </c>
      <c r="L16" s="40">
        <f>ROUNDUP(E16/12,2)-0.03</f>
        <v>33333.340000000004</v>
      </c>
      <c r="M16" s="40">
        <f>ROUNDUP(E16/12,2)-0.03</f>
        <v>33333.340000000004</v>
      </c>
      <c r="N16" s="40">
        <f>ROUNDUP(E16/12,2)-0.03</f>
        <v>33333.340000000004</v>
      </c>
      <c r="O16" s="40">
        <f>ROUNDUP(E16/12,2)-0.03</f>
        <v>33333.340000000004</v>
      </c>
      <c r="P16" s="40">
        <f>ROUNDUP(E16/12,2)-0.07</f>
        <v>33333.3</v>
      </c>
      <c r="Q16" s="56">
        <f t="shared" si="8"/>
        <v>400000.00000000006</v>
      </c>
      <c r="R16" s="61">
        <v>225000</v>
      </c>
      <c r="S16" s="44"/>
    </row>
    <row r="17" spans="1:19" ht="13.5" thickBot="1">
      <c r="A17" s="9" t="s">
        <v>27</v>
      </c>
      <c r="B17" s="10">
        <f>+'[1]vs. FY10 Funding'!G19</f>
        <v>384986</v>
      </c>
      <c r="C17" s="12">
        <f>+'[1]Board Needs'!B18</f>
        <v>399999.8</v>
      </c>
      <c r="D17" s="11">
        <f t="shared" si="0"/>
        <v>0.03899830123692807</v>
      </c>
      <c r="E17" s="13"/>
      <c r="F17" s="14"/>
      <c r="G17" s="15"/>
      <c r="H17" s="46"/>
      <c r="I17" s="47"/>
      <c r="J17" s="47"/>
      <c r="K17" s="47"/>
      <c r="L17" s="47"/>
      <c r="M17" s="47"/>
      <c r="N17" s="47"/>
      <c r="O17" s="47"/>
      <c r="P17" s="47"/>
      <c r="Q17" s="57"/>
      <c r="R17" s="61"/>
      <c r="S17" s="44"/>
    </row>
    <row r="18" spans="1:19" ht="13.5" thickBot="1">
      <c r="A18" s="16" t="s">
        <v>28</v>
      </c>
      <c r="B18" s="17">
        <f>SUM(B3:B17)</f>
        <v>73899540.93762009</v>
      </c>
      <c r="C18" s="17">
        <f>SUM(C3:C17)</f>
        <v>74830756.91227259</v>
      </c>
      <c r="D18" s="18">
        <f t="shared" si="0"/>
        <v>0.012601106351101083</v>
      </c>
      <c r="E18" s="48">
        <f>SUM(E3:E17)</f>
        <v>5591747.324999999</v>
      </c>
      <c r="F18" s="48"/>
      <c r="G18" s="49"/>
      <c r="H18" s="50">
        <f aca="true" t="shared" si="9" ref="H18:Q18">SUM(H3:H17)</f>
        <v>1675000</v>
      </c>
      <c r="I18" s="48">
        <f t="shared" si="9"/>
        <v>1397936.75</v>
      </c>
      <c r="J18" s="48">
        <f t="shared" si="9"/>
        <v>1397936.75</v>
      </c>
      <c r="K18" s="48">
        <f t="shared" si="9"/>
        <v>465978.9700000001</v>
      </c>
      <c r="L18" s="48">
        <f t="shared" si="9"/>
        <v>465978.9700000001</v>
      </c>
      <c r="M18" s="48">
        <f t="shared" si="9"/>
        <v>465978.9700000001</v>
      </c>
      <c r="N18" s="48">
        <f t="shared" si="9"/>
        <v>465978.9700000001</v>
      </c>
      <c r="O18" s="48">
        <f t="shared" si="9"/>
        <v>465978.9700000001</v>
      </c>
      <c r="P18" s="48">
        <f t="shared" si="9"/>
        <v>465978.64999999997</v>
      </c>
      <c r="Q18" s="50">
        <f t="shared" si="9"/>
        <v>5591747</v>
      </c>
      <c r="R18" s="64">
        <f>SUM(R3:R17)</f>
        <v>1675000</v>
      </c>
      <c r="S18" s="65">
        <f>Q18+R18</f>
        <v>7266747</v>
      </c>
    </row>
    <row r="19" spans="5:19" ht="13.5" thickBot="1">
      <c r="E19" s="51"/>
      <c r="F19" s="51"/>
      <c r="G19" s="52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38.25">
      <c r="A20" s="20" t="s">
        <v>1</v>
      </c>
      <c r="B20" s="5" t="s">
        <v>2</v>
      </c>
      <c r="C20" s="5" t="s">
        <v>3</v>
      </c>
      <c r="D20" s="5" t="s">
        <v>4</v>
      </c>
      <c r="E20" s="53" t="s">
        <v>29</v>
      </c>
      <c r="F20" s="51"/>
      <c r="G20" s="52"/>
      <c r="H20" s="51"/>
      <c r="I20" s="54"/>
      <c r="J20" s="55">
        <v>40483</v>
      </c>
      <c r="K20" s="55"/>
      <c r="L20" s="55"/>
      <c r="M20" s="55"/>
      <c r="N20" s="55"/>
      <c r="O20" s="55"/>
      <c r="P20" s="55">
        <v>40238</v>
      </c>
      <c r="Q20" s="54"/>
      <c r="R20" s="51"/>
      <c r="S20" s="51"/>
    </row>
    <row r="21" spans="1:19" ht="12.75">
      <c r="A21" s="21" t="s">
        <v>30</v>
      </c>
      <c r="B21" s="10">
        <f>+'[1]County by County'!G84</f>
        <v>1193637</v>
      </c>
      <c r="C21" s="10">
        <f>+'[1]County by County'!L84</f>
        <v>1146500</v>
      </c>
      <c r="D21" s="22">
        <f>(+C21-B21)/B21</f>
        <v>-0.0394902302793898</v>
      </c>
      <c r="E21" s="40">
        <f>+'[1]County by County'!K84</f>
        <v>-613718</v>
      </c>
      <c r="F21" s="41"/>
      <c r="G21" s="42"/>
      <c r="H21" s="41"/>
      <c r="I21" s="40"/>
      <c r="J21" s="40">
        <f>E21/2</f>
        <v>-306859</v>
      </c>
      <c r="K21" s="40"/>
      <c r="L21" s="40"/>
      <c r="M21" s="40"/>
      <c r="N21" s="40"/>
      <c r="O21" s="40"/>
      <c r="P21" s="40">
        <f>E21/2</f>
        <v>-306859</v>
      </c>
      <c r="Q21" s="56">
        <f>SUM(I21:P21)</f>
        <v>-613718</v>
      </c>
      <c r="R21" s="51"/>
      <c r="S21" s="51"/>
    </row>
    <row r="22" spans="1:19" ht="12.75">
      <c r="A22" s="21" t="s">
        <v>31</v>
      </c>
      <c r="B22" s="10">
        <f>+'[1]County by County'!G192</f>
        <v>1264218</v>
      </c>
      <c r="C22" s="10">
        <f>+'[1]County by County'!L192</f>
        <v>1312221.59</v>
      </c>
      <c r="D22" s="22">
        <f>(+C22-B22)/B22</f>
        <v>0.03797097494261281</v>
      </c>
      <c r="E22" s="40">
        <f>+'[1]County by County'!K192</f>
        <v>-202011.41</v>
      </c>
      <c r="F22" s="41"/>
      <c r="G22" s="42"/>
      <c r="H22" s="41"/>
      <c r="I22" s="40"/>
      <c r="J22" s="40">
        <f>E22/2</f>
        <v>-101005.705</v>
      </c>
      <c r="K22" s="40"/>
      <c r="L22" s="40"/>
      <c r="M22" s="40"/>
      <c r="N22" s="40"/>
      <c r="O22" s="40"/>
      <c r="P22" s="40">
        <f>E22/2</f>
        <v>-101005.705</v>
      </c>
      <c r="Q22" s="56">
        <f>SUM(I22:P22)</f>
        <v>-202011.41</v>
      </c>
      <c r="R22" s="51"/>
      <c r="S22" s="51"/>
    </row>
    <row r="23" spans="1:19" ht="13.5" thickBot="1">
      <c r="A23" s="23" t="s">
        <v>32</v>
      </c>
      <c r="B23" s="10">
        <f>+'[1]County by County'!G382</f>
        <v>2139521.32</v>
      </c>
      <c r="C23" s="10">
        <f>+'[1]County by County'!L382</f>
        <v>2157360.628826496</v>
      </c>
      <c r="D23" s="22">
        <f>(+C23-B23)/B23</f>
        <v>0.008337990680315521</v>
      </c>
      <c r="E23" s="47">
        <f>+'[1]County by County'!K382</f>
        <v>-897307</v>
      </c>
      <c r="F23" s="41"/>
      <c r="G23" s="42"/>
      <c r="H23" s="41"/>
      <c r="I23" s="47"/>
      <c r="J23" s="47">
        <f>E23/2</f>
        <v>-448653.5</v>
      </c>
      <c r="K23" s="47"/>
      <c r="L23" s="47"/>
      <c r="M23" s="47"/>
      <c r="N23" s="47"/>
      <c r="O23" s="47"/>
      <c r="P23" s="47">
        <f>E23/2</f>
        <v>-448653.5</v>
      </c>
      <c r="Q23" s="57">
        <f>SUM(I23:P23)</f>
        <v>-897307</v>
      </c>
      <c r="R23" s="51"/>
      <c r="S23" s="51"/>
    </row>
    <row r="24" spans="1:19" ht="13.5" thickBot="1">
      <c r="A24" s="16" t="s">
        <v>28</v>
      </c>
      <c r="B24" s="17">
        <f>SUM(B9:B23)</f>
        <v>114053076.00752261</v>
      </c>
      <c r="C24" s="17">
        <f>SUM(C9:C23)</f>
        <v>115821093.26337168</v>
      </c>
      <c r="D24" s="18">
        <f>(+C24-B24)/B24</f>
        <v>0.015501706027923789</v>
      </c>
      <c r="E24" s="48">
        <f aca="true" t="shared" si="10" ref="E24:Q24">SUM(E21:E23)</f>
        <v>-1713036.4100000001</v>
      </c>
      <c r="F24" s="48">
        <f t="shared" si="10"/>
        <v>0</v>
      </c>
      <c r="G24" s="48">
        <f t="shared" si="10"/>
        <v>0</v>
      </c>
      <c r="H24" s="48">
        <f t="shared" si="10"/>
        <v>0</v>
      </c>
      <c r="I24" s="48">
        <f t="shared" si="10"/>
        <v>0</v>
      </c>
      <c r="J24" s="48">
        <f t="shared" si="10"/>
        <v>-856518.2050000001</v>
      </c>
      <c r="K24" s="48">
        <f t="shared" si="10"/>
        <v>0</v>
      </c>
      <c r="L24" s="48">
        <f t="shared" si="10"/>
        <v>0</v>
      </c>
      <c r="M24" s="48">
        <f t="shared" si="10"/>
        <v>0</v>
      </c>
      <c r="N24" s="48">
        <f t="shared" si="10"/>
        <v>0</v>
      </c>
      <c r="O24" s="48">
        <f t="shared" si="10"/>
        <v>0</v>
      </c>
      <c r="P24" s="48">
        <f t="shared" si="10"/>
        <v>-856518.2050000001</v>
      </c>
      <c r="Q24" s="50">
        <f t="shared" si="10"/>
        <v>-1713036.4100000001</v>
      </c>
      <c r="R24" s="51"/>
      <c r="S24" s="51"/>
    </row>
    <row r="25" spans="5:19" ht="13.5" thickBot="1">
      <c r="E25" s="51"/>
      <c r="F25" s="51"/>
      <c r="G25" s="52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3.5" thickBot="1">
      <c r="A26" s="24" t="s">
        <v>33</v>
      </c>
      <c r="B26" s="25"/>
      <c r="C26" s="25"/>
      <c r="D26" s="25"/>
      <c r="E26" s="58">
        <f aca="true" t="shared" si="11" ref="E26:Q26">+E24+E18</f>
        <v>3878710.914999999</v>
      </c>
      <c r="F26" s="58">
        <f t="shared" si="11"/>
        <v>0</v>
      </c>
      <c r="G26" s="58">
        <f t="shared" si="11"/>
        <v>0</v>
      </c>
      <c r="H26" s="58">
        <f t="shared" si="11"/>
        <v>1675000</v>
      </c>
      <c r="I26" s="58">
        <f t="shared" si="11"/>
        <v>1397936.75</v>
      </c>
      <c r="J26" s="58">
        <f t="shared" si="11"/>
        <v>541418.5449999999</v>
      </c>
      <c r="K26" s="58">
        <f t="shared" si="11"/>
        <v>465978.9700000001</v>
      </c>
      <c r="L26" s="58">
        <f t="shared" si="11"/>
        <v>465978.9700000001</v>
      </c>
      <c r="M26" s="58">
        <f t="shared" si="11"/>
        <v>465978.9700000001</v>
      </c>
      <c r="N26" s="58">
        <f t="shared" si="11"/>
        <v>465978.9700000001</v>
      </c>
      <c r="O26" s="58">
        <f t="shared" si="11"/>
        <v>465978.9700000001</v>
      </c>
      <c r="P26" s="58">
        <f t="shared" si="11"/>
        <v>-390539.5550000001</v>
      </c>
      <c r="Q26" s="59">
        <f t="shared" si="11"/>
        <v>3878710.59</v>
      </c>
      <c r="R26" s="51"/>
      <c r="S26" s="66"/>
    </row>
    <row r="27" ht="13.5" thickBot="1"/>
    <row r="28" spans="15:17" ht="13.5" thickTop="1">
      <c r="O28" s="32"/>
      <c r="P28" s="33"/>
      <c r="Q28" s="29"/>
    </row>
    <row r="29" spans="5:17" ht="12.75"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34" t="s">
        <v>35</v>
      </c>
      <c r="P29" s="35"/>
      <c r="Q29" s="36"/>
    </row>
    <row r="30" spans="5:17" ht="13.5" thickBot="1">
      <c r="E30" s="26"/>
      <c r="F30" s="26"/>
      <c r="G30" s="27"/>
      <c r="H30" s="26"/>
      <c r="I30" s="26"/>
      <c r="J30" s="26"/>
      <c r="K30" s="26"/>
      <c r="L30" s="26"/>
      <c r="M30" s="26"/>
      <c r="N30" s="26"/>
      <c r="O30" s="37"/>
      <c r="P30" s="38"/>
      <c r="Q30" s="39"/>
    </row>
    <row r="31" spans="5:17" ht="13.5" thickTop="1">
      <c r="E31" s="26"/>
      <c r="F31" s="26"/>
      <c r="G31" s="27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5:17" ht="12.75">
      <c r="E32" s="26"/>
      <c r="F32" s="26"/>
      <c r="G32" s="27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5:17" ht="12.75">
      <c r="E33" s="26"/>
      <c r="F33" s="26"/>
      <c r="G33" s="27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5:17" ht="12.75">
      <c r="E34" s="26"/>
      <c r="F34" s="26"/>
      <c r="G34" s="27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5:17" ht="12.75">
      <c r="E35" s="26"/>
      <c r="F35" s="26"/>
      <c r="G35" s="27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5:17" ht="12.75">
      <c r="E36" s="26"/>
      <c r="F36" s="26"/>
      <c r="G36" s="27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5:17" ht="12.75">
      <c r="E37" s="26"/>
      <c r="F37" s="26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5:17" ht="12.75">
      <c r="E38" s="26"/>
      <c r="F38" s="26"/>
      <c r="G38" s="27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5:17" ht="12.75">
      <c r="E39" s="26"/>
      <c r="F39" s="26"/>
      <c r="G39" s="27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5:17" ht="12.75">
      <c r="E40" s="26"/>
      <c r="F40" s="26"/>
      <c r="G40" s="27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5:17" ht="12.75">
      <c r="E41" s="26"/>
      <c r="F41" s="26"/>
      <c r="G41" s="27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5:17" ht="12.75">
      <c r="E42" s="26"/>
      <c r="F42" s="26"/>
      <c r="G42" s="27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ht="12.75">
      <c r="Q43" s="26"/>
    </row>
  </sheetData>
  <mergeCells count="1">
    <mergeCell ref="A1:E1"/>
  </mergeCells>
  <printOptions/>
  <pageMargins left="0.75" right="0.75" top="1" bottom="1" header="0.5" footer="0.5"/>
  <pageSetup fitToHeight="1" fitToWidth="1" horizontalDpi="300" verticalDpi="300" orientation="landscape" scale="86" r:id="rId1"/>
  <headerFooter alignWithMargins="0">
    <oddHeader>&amp;C&amp;"Arial,Bold"&amp;14SBOC INVESTMENT FUND TENTATIVE FY11 DISBURSEMENT SCHEDULE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MLB</dc:creator>
  <cp:keywords/>
  <dc:description/>
  <cp:lastModifiedBy>OIT</cp:lastModifiedBy>
  <cp:lastPrinted>2010-10-13T13:00:03Z</cp:lastPrinted>
  <dcterms:created xsi:type="dcterms:W3CDTF">2010-07-20T19:41:51Z</dcterms:created>
  <dcterms:modified xsi:type="dcterms:W3CDTF">2010-10-22T20:57:25Z</dcterms:modified>
  <cp:category/>
  <cp:version/>
  <cp:contentType/>
  <cp:contentStatus/>
</cp:coreProperties>
</file>