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2"/>
  </bookViews>
  <sheets>
    <sheet name="Formula" sheetId="1" r:id="rId1"/>
    <sheet name="Project" sheetId="2" r:id="rId2"/>
    <sheet name="General Reporting Guidance" sheetId="3" r:id="rId3"/>
  </sheets>
  <externalReferences>
    <externalReference r:id="rId6"/>
    <externalReference r:id="rId7"/>
  </externalReferences>
  <definedNames>
    <definedName name="_xlnm.Print_Area" localSheetId="0">'Formula'!$B$27:$EK$85</definedName>
    <definedName name="_xlnm.Print_Area" localSheetId="2">'General Reporting Guidance'!$A$1:$B$75</definedName>
    <definedName name="_xlnm.Print_Area" localSheetId="1">'Project'!$B$27:$DH$83</definedName>
    <definedName name="_xlnm.Print_Titles" localSheetId="0">'Formula'!$A:$A,'Formula'!$1:$7</definedName>
    <definedName name="_xlnm.Print_Titles" localSheetId="1">'Project'!$A:$A,'Project'!$1:$7</definedName>
  </definedNames>
  <calcPr fullCalcOnLoad="1"/>
</workbook>
</file>

<file path=xl/sharedStrings.xml><?xml version="1.0" encoding="utf-8"?>
<sst xmlns="http://schemas.openxmlformats.org/spreadsheetml/2006/main" count="1006" uniqueCount="628">
  <si>
    <t>($ in thousands)</t>
  </si>
  <si>
    <t>Fiscal Stabilization</t>
  </si>
  <si>
    <t>Education</t>
  </si>
  <si>
    <t>Weatherization</t>
  </si>
  <si>
    <t>Immunization</t>
  </si>
  <si>
    <t>Title I</t>
  </si>
  <si>
    <t>Special Education</t>
  </si>
  <si>
    <t>Voc. Rehab.</t>
  </si>
  <si>
    <t>Ed. Tech.</t>
  </si>
  <si>
    <t>Total</t>
  </si>
  <si>
    <t>Alabama</t>
  </si>
  <si>
    <t>NA</t>
  </si>
  <si>
    <t>Alaska</t>
  </si>
  <si>
    <t>Arizona</t>
  </si>
  <si>
    <t>Arkansas</t>
  </si>
  <si>
    <t>California</t>
  </si>
  <si>
    <t>Colorado</t>
  </si>
  <si>
    <t>Connecticut</t>
  </si>
  <si>
    <t>Delaware</t>
  </si>
  <si>
    <t>DC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</si>
  <si>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</si>
  <si>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</si>
  <si>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</si>
  <si>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</si>
  <si>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</si>
  <si>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</si>
  <si>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</si>
  <si>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</si>
  <si>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</si>
  <si>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</si>
  <si>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</si>
  <si>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</si>
  <si>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</si>
  <si>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</si>
  <si>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</si>
  <si>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</si>
  <si>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</si>
  <si>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</si>
  <si>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</si>
  <si>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</si>
  <si>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</si>
  <si>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</si>
  <si>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</si>
  <si>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</si>
  <si>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</si>
  <si>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</si>
  <si>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</si>
  <si>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</si>
  <si>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</si>
  <si>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</si>
  <si>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</si>
  <si>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</si>
  <si>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</si>
  <si>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</si>
  <si>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</si>
  <si>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</si>
  <si>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</si>
  <si>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</si>
  <si>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</si>
  <si>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</si>
  <si>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</si>
  <si>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</si>
  <si>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Puerto Rico</t>
  </si>
  <si>
    <t>American Samoa</t>
  </si>
  <si>
    <t xml:space="preserve">Guam </t>
  </si>
  <si>
    <t>Mariana Islands</t>
  </si>
  <si>
    <t>Virgin Islands</t>
  </si>
  <si>
    <t>TOTAL</t>
  </si>
  <si>
    <t>Copyright © 2009 FFIS Federal Funds Information for States.  All rights reserved.</t>
  </si>
  <si>
    <t>Grants to LEAs</t>
  </si>
  <si>
    <t xml:space="preserve">School Improvement </t>
  </si>
  <si>
    <t>(Ed for Homeless)</t>
  </si>
  <si>
    <t>Part B</t>
  </si>
  <si>
    <t>Medicaid FMAP</t>
  </si>
  <si>
    <t>2009</t>
  </si>
  <si>
    <t>2010/11</t>
  </si>
  <si>
    <t>General Purpose</t>
  </si>
  <si>
    <t>DSH</t>
  </si>
  <si>
    <t>Medicaid</t>
  </si>
  <si>
    <t>(Fixed Guideway)</t>
  </si>
  <si>
    <t>SRF</t>
  </si>
  <si>
    <t>Drinking Water</t>
  </si>
  <si>
    <t>Clean Water</t>
  </si>
  <si>
    <t>State Energy</t>
  </si>
  <si>
    <t>Program</t>
  </si>
  <si>
    <t>Emergency</t>
  </si>
  <si>
    <t>Food &amp; Shelter</t>
  </si>
  <si>
    <t>Foster Care/</t>
  </si>
  <si>
    <t>Adoption</t>
  </si>
  <si>
    <t>Child</t>
  </si>
  <si>
    <t>Care</t>
  </si>
  <si>
    <t>Head</t>
  </si>
  <si>
    <t>Start</t>
  </si>
  <si>
    <t>Community</t>
  </si>
  <si>
    <t>Services BG</t>
  </si>
  <si>
    <t>School Lunch</t>
  </si>
  <si>
    <t>Equipment</t>
  </si>
  <si>
    <t>Public Housing</t>
  </si>
  <si>
    <t>Capital Fund</t>
  </si>
  <si>
    <t>Homelessness</t>
  </si>
  <si>
    <t>Prevention</t>
  </si>
  <si>
    <t>Crime Victims</t>
  </si>
  <si>
    <t>Internet Crimes</t>
  </si>
  <si>
    <t>Against Children</t>
  </si>
  <si>
    <t>UI State</t>
  </si>
  <si>
    <t>Admin.</t>
  </si>
  <si>
    <t>Employment</t>
  </si>
  <si>
    <t>Service</t>
  </si>
  <si>
    <t>Older Americans</t>
  </si>
  <si>
    <t>Adult</t>
  </si>
  <si>
    <t>Youth</t>
  </si>
  <si>
    <t>WIA</t>
  </si>
  <si>
    <t>Dislocated</t>
  </si>
  <si>
    <t>Workers</t>
  </si>
  <si>
    <t>Part B-Preschool</t>
  </si>
  <si>
    <t>Work</t>
  </si>
  <si>
    <t>Study</t>
  </si>
  <si>
    <t>Against Women</t>
  </si>
  <si>
    <t>Violence</t>
  </si>
  <si>
    <t>McKinney-Vento</t>
  </si>
  <si>
    <t>Assistance Grants</t>
  </si>
  <si>
    <t>Benefits</t>
  </si>
  <si>
    <t>-</t>
  </si>
  <si>
    <t>Source: CBPP</t>
  </si>
  <si>
    <t>CDBG</t>
  </si>
  <si>
    <t>Entitlement</t>
  </si>
  <si>
    <t>Non-Entitlement</t>
  </si>
  <si>
    <t>Rail Modernization</t>
  </si>
  <si>
    <t>Highways</t>
  </si>
  <si>
    <t>&amp; Bridges</t>
  </si>
  <si>
    <t xml:space="preserve">CFDA # </t>
  </si>
  <si>
    <t>93.778</t>
  </si>
  <si>
    <t>93.658 / 93.659</t>
  </si>
  <si>
    <t>84.033</t>
  </si>
  <si>
    <t>20.205</t>
  </si>
  <si>
    <t>20.500</t>
  </si>
  <si>
    <t>66.468</t>
  </si>
  <si>
    <t>66.458</t>
  </si>
  <si>
    <t>81.042</t>
  </si>
  <si>
    <t>83.523</t>
  </si>
  <si>
    <t>10.561</t>
  </si>
  <si>
    <t>93.569</t>
  </si>
  <si>
    <t>17.258</t>
  </si>
  <si>
    <t>17.259</t>
  </si>
  <si>
    <t>10.551</t>
  </si>
  <si>
    <t>93.558</t>
  </si>
  <si>
    <t>Unallocated</t>
  </si>
  <si>
    <t>Public Transit</t>
  </si>
  <si>
    <t>93.224/93.246</t>
  </si>
  <si>
    <t>Byrne/JAG</t>
  </si>
  <si>
    <t>(State only)</t>
  </si>
  <si>
    <t>Actual 3/16/09</t>
  </si>
  <si>
    <t xml:space="preserve">Pell </t>
  </si>
  <si>
    <t>84.063</t>
  </si>
  <si>
    <t>SNAP</t>
  </si>
  <si>
    <t>Actual 3/18/09</t>
  </si>
  <si>
    <t>2009 Only</t>
  </si>
  <si>
    <t>Actual 3/19/09</t>
  </si>
  <si>
    <t>State Grants</t>
  </si>
  <si>
    <t xml:space="preserve"> </t>
  </si>
  <si>
    <t>Energy Efficiency Block Grant</t>
  </si>
  <si>
    <t>State</t>
  </si>
  <si>
    <t>Local</t>
  </si>
  <si>
    <t>81.128</t>
  </si>
  <si>
    <t>TEFAP</t>
  </si>
  <si>
    <t>Impact Aid</t>
  </si>
  <si>
    <t>Veterans Affairs</t>
  </si>
  <si>
    <t xml:space="preserve">Medical </t>
  </si>
  <si>
    <t>Facilities</t>
  </si>
  <si>
    <t xml:space="preserve"> Care Facilities</t>
  </si>
  <si>
    <t>VA: State Extended</t>
  </si>
  <si>
    <t>National</t>
  </si>
  <si>
    <t>SNAP Admin</t>
  </si>
  <si>
    <t>Cemetery Admin.</t>
  </si>
  <si>
    <t>Health Centers</t>
  </si>
  <si>
    <t>New Access Point</t>
  </si>
  <si>
    <t>Increased Demand</t>
  </si>
  <si>
    <t>Actual 4/10/2009</t>
  </si>
  <si>
    <t>For the Arts</t>
  </si>
  <si>
    <t>Funding not included in FFIS Totals:</t>
  </si>
  <si>
    <t>Grants*</t>
  </si>
  <si>
    <t xml:space="preserve"> *Includes 2009</t>
  </si>
  <si>
    <t>Tanks (LUST)</t>
  </si>
  <si>
    <t>66.805</t>
  </si>
  <si>
    <t>District of Columbia</t>
  </si>
  <si>
    <t>Northern Mariana Islands</t>
  </si>
  <si>
    <t>appropriation</t>
  </si>
  <si>
    <t>Enforcement</t>
  </si>
  <si>
    <t>84.394</t>
  </si>
  <si>
    <t>84.397</t>
  </si>
  <si>
    <t>84.399</t>
  </si>
  <si>
    <t>Independent Living</t>
  </si>
  <si>
    <t>n/a</t>
  </si>
  <si>
    <t>TANF</t>
  </si>
  <si>
    <t>Emergency Fund</t>
  </si>
  <si>
    <t>Max. Eligible Amount</t>
  </si>
  <si>
    <t>Commodities</t>
  </si>
  <si>
    <t>Actual 3/2/09</t>
  </si>
  <si>
    <t>16.800</t>
  </si>
  <si>
    <t>Project Based</t>
  </si>
  <si>
    <t>Rental Assistance</t>
  </si>
  <si>
    <t>Native American</t>
  </si>
  <si>
    <t>14.882</t>
  </si>
  <si>
    <t xml:space="preserve">Lead Hazard </t>
  </si>
  <si>
    <t>Reduction</t>
  </si>
  <si>
    <t>14.907 / 14.908</t>
  </si>
  <si>
    <t>Elderly Nutrition</t>
  </si>
  <si>
    <t>Congregate</t>
  </si>
  <si>
    <t>Water and Env. Prog.</t>
  </si>
  <si>
    <t>Actual 3/9/09</t>
  </si>
  <si>
    <t>National Park</t>
  </si>
  <si>
    <t>N/A</t>
  </si>
  <si>
    <t>Fish &amp; Wildlife</t>
  </si>
  <si>
    <t>Management</t>
  </si>
  <si>
    <t>State Allocations of Project Funds Under ARRA</t>
  </si>
  <si>
    <t>Reclamation</t>
  </si>
  <si>
    <t>Department of Interior</t>
  </si>
  <si>
    <t>Projects</t>
  </si>
  <si>
    <t>Fuels</t>
  </si>
  <si>
    <t>Department of Education</t>
  </si>
  <si>
    <t>Teacher Incentive</t>
  </si>
  <si>
    <t>Fund</t>
  </si>
  <si>
    <t>Teacher Quality</t>
  </si>
  <si>
    <t>Head Start*</t>
  </si>
  <si>
    <t>Construction</t>
  </si>
  <si>
    <t>Capital</t>
  </si>
  <si>
    <t>Improvement</t>
  </si>
  <si>
    <t>Department of Health and Human Services</t>
  </si>
  <si>
    <t xml:space="preserve">Green Retrofit for Multifamily Housing </t>
  </si>
  <si>
    <t>Department of Justice</t>
  </si>
  <si>
    <t>Byrne Competitive Grants</t>
  </si>
  <si>
    <t>COPS</t>
  </si>
  <si>
    <t>OJJDP Local Youth Mentoring</t>
  </si>
  <si>
    <t>VAW Transitional Housing</t>
  </si>
  <si>
    <t>VAW Tribal Governments</t>
  </si>
  <si>
    <t>Rural Law Enforcement</t>
  </si>
  <si>
    <t>Southern Border and High Intensity Drug Trafficking Areas (HIDTA)</t>
  </si>
  <si>
    <t>Neighborhood Stabilization Program (2)</t>
  </si>
  <si>
    <t xml:space="preserve">Public Housing Capital Fund- Competitive </t>
  </si>
  <si>
    <t>Department of Labor</t>
  </si>
  <si>
    <t>Department of Commerce</t>
  </si>
  <si>
    <t>Broadband Technology Opportunities Program</t>
  </si>
  <si>
    <t>State Broadband Data and Development Program</t>
  </si>
  <si>
    <t>Department of Housing and Urban Development</t>
  </si>
  <si>
    <t>Youth Build</t>
  </si>
  <si>
    <t>High Growth and Emerging Industry Training Grants</t>
  </si>
  <si>
    <t>Job Corps</t>
  </si>
  <si>
    <t>VOCA Victims Assistance Discretionary Grants</t>
  </si>
  <si>
    <t>Correctional Facilities- Tribal Lands</t>
  </si>
  <si>
    <t>Corporation for National and Community Service</t>
  </si>
  <si>
    <t xml:space="preserve"> EDA Adjustment Assistance / Public Works and Economic Development Facilities</t>
  </si>
  <si>
    <t>11.307 / 11.300</t>
  </si>
  <si>
    <t>Tribal VAW Coalitions</t>
  </si>
  <si>
    <t>Actual 8/3/2009</t>
  </si>
  <si>
    <t xml:space="preserve">Domestic Violence Coalitions </t>
  </si>
  <si>
    <t>Sexual Assault Coalitions</t>
  </si>
  <si>
    <t>Actual 8/10/2009</t>
  </si>
  <si>
    <t xml:space="preserve"> Incentive Payments</t>
  </si>
  <si>
    <t>UI Modernization</t>
  </si>
  <si>
    <t>National Emergency Grants</t>
  </si>
  <si>
    <t>TAA Supplemental Distribution</t>
  </si>
  <si>
    <t>Head Start</t>
  </si>
  <si>
    <t>Actual</t>
  </si>
  <si>
    <t>Actual 5/4/09</t>
  </si>
  <si>
    <t>Home-Delivered</t>
  </si>
  <si>
    <t xml:space="preserve">Centers for </t>
  </si>
  <si>
    <t>84.400</t>
  </si>
  <si>
    <t>As of 8/19/09</t>
  </si>
  <si>
    <t>Long. Data System</t>
  </si>
  <si>
    <t>Actual 3/12/09</t>
  </si>
  <si>
    <t>Energy Efficient</t>
  </si>
  <si>
    <t>Appliance Rebate</t>
  </si>
  <si>
    <t>Actual 7/14/09</t>
  </si>
  <si>
    <t>Actual 4/9/09</t>
  </si>
  <si>
    <t>Actual 3/09/09</t>
  </si>
  <si>
    <t>Compensation</t>
  </si>
  <si>
    <t>Actual 3/06/09</t>
  </si>
  <si>
    <t>Bureau of Land Management</t>
  </si>
  <si>
    <t>Bureau of Reclamation</t>
  </si>
  <si>
    <t>As of 8/12/09</t>
  </si>
  <si>
    <t>Natural Resources Conservation Service (USDA)</t>
  </si>
  <si>
    <t>Watershed Rehabilitation</t>
  </si>
  <si>
    <t>Watershed Operations</t>
  </si>
  <si>
    <t>Floodplain Easements</t>
  </si>
  <si>
    <t>Food and Nutrition Services (FNS)</t>
  </si>
  <si>
    <t>Strengthening Comm. Fund</t>
  </si>
  <si>
    <t xml:space="preserve">State Health Info. Exchange </t>
  </si>
  <si>
    <t>SFSF - Incentive Grants</t>
  </si>
  <si>
    <t>SFSF - Innovation Fund</t>
  </si>
  <si>
    <t>EPA</t>
  </si>
  <si>
    <t>Brownfields</t>
  </si>
  <si>
    <t>Department of Homeland Security</t>
  </si>
  <si>
    <t>Energy Emergency Preparedness</t>
  </si>
  <si>
    <t>Department of Transportation</t>
  </si>
  <si>
    <t>Capital Investment Grants - New Starts</t>
  </si>
  <si>
    <t>Fire Station Construction</t>
  </si>
  <si>
    <t>Transit Security Grant</t>
  </si>
  <si>
    <t>Port Security Grant</t>
  </si>
  <si>
    <t>94.006</t>
  </si>
  <si>
    <t>Department of Energy</t>
  </si>
  <si>
    <t>Discretionary Energy Funding</t>
  </si>
  <si>
    <t>Ferry Boat Discretionary Program</t>
  </si>
  <si>
    <t>AmeriCorps - State Grants (Competitive)</t>
  </si>
  <si>
    <t>Formula*</t>
  </si>
  <si>
    <t>*Excludes Fixed Guideway</t>
  </si>
  <si>
    <t>Actual 3/5/09</t>
  </si>
  <si>
    <t>State Formula Allocations Under ARRA</t>
  </si>
  <si>
    <t>As of 7/21/09</t>
  </si>
  <si>
    <t>Early Head Start</t>
  </si>
  <si>
    <t>Native American Housing Block Grant - Competitive</t>
  </si>
  <si>
    <t>Indian Community Development Block Grants</t>
  </si>
  <si>
    <t>Dual Domestic Violence, Sexual Assault Coalitions</t>
  </si>
  <si>
    <t>Teacher Qual Partner</t>
  </si>
  <si>
    <t>Link(s) to allocations:</t>
  </si>
  <si>
    <t>Link(s) to guidance:</t>
  </si>
  <si>
    <t>2010 Only</t>
  </si>
  <si>
    <t>Scholarship for Disadv. Students</t>
  </si>
  <si>
    <t>Public Health Traineeships</t>
  </si>
  <si>
    <t>Nursing Workforce Diversity</t>
  </si>
  <si>
    <t>Dental Public Health Residency</t>
  </si>
  <si>
    <t>Centers for Excellence</t>
  </si>
  <si>
    <t>Clean Energy</t>
  </si>
  <si>
    <t>Health Careers Opportunities</t>
  </si>
  <si>
    <t>Clean Diesel</t>
  </si>
  <si>
    <t>Actual 7/28/09</t>
  </si>
  <si>
    <t>Actual 7/29/09</t>
  </si>
  <si>
    <t>As of 8/28/09</t>
  </si>
  <si>
    <t>See Link for Listing</t>
  </si>
  <si>
    <t>As of 7/30/09</t>
  </si>
  <si>
    <t>As of 7/29/09</t>
  </si>
  <si>
    <t>As of 9/1/09</t>
  </si>
  <si>
    <t>As of 9/18/09</t>
  </si>
  <si>
    <t>As of 8/26/09</t>
  </si>
  <si>
    <t>As of 9/16/09</t>
  </si>
  <si>
    <t>Brownfields Supplemental</t>
  </si>
  <si>
    <t>http://www.acf.hhs.gov/grants/open/HHS-2009-ACF-OHS-SH-0089.html</t>
  </si>
  <si>
    <t>http://www.acf.hhs.gov/grants/open/HHS-2009-ACF-OHS-SA-0087.html</t>
  </si>
  <si>
    <t>Same as above</t>
  </si>
  <si>
    <t xml:space="preserve">Same as above </t>
  </si>
  <si>
    <t>http://www.ed.gov/about/overview/budget/statetables/index.html</t>
  </si>
  <si>
    <t>http://www.fns.usda.gov/CND/Governance/Policy-Memos/2009/SP_18-2009_os.pdf</t>
  </si>
  <si>
    <t>http://www.fns.usda.gov/snap/rules/Memo/2009/081309.pdf</t>
  </si>
  <si>
    <t>http://www.fns.usda.gov/fdd/programs/tefap/tefap_ARRA_030209.pdf</t>
  </si>
  <si>
    <t>http://www.hhs.gov/news/press/2009pres/03/20090318a.html</t>
  </si>
  <si>
    <t>http://www.acf.hhs.gov/programs/ohs/policy/pi2009/acfpihs_09_06_a1.html</t>
  </si>
  <si>
    <t>http://www.ed.gov/about/overview/budget/statetables/10stbyprogram.pdf</t>
  </si>
  <si>
    <t>http://www.cbpp.org/files/1-22-09bud.pdf</t>
  </si>
  <si>
    <t>http://www.workforcesecurity.doleta.gov/unemploy/laws.asp#modern</t>
  </si>
  <si>
    <t>http://www.ojp.usdoj.gov/ovc/fund/recoverycvfa2009.html</t>
  </si>
  <si>
    <t>http://www.ojp.usdoj.gov/recovery/awards.htm</t>
  </si>
  <si>
    <t>http://www.ovw.usdoj.gov/recovery-grants-awards.htm</t>
  </si>
  <si>
    <t>http://www.nationalservice.gov/about/newsroom/releases_detail.asp?tbl_pr_id=1340#ARGSF</t>
  </si>
  <si>
    <t>http://www.acf.hhs.gov/programs/ofa/policy/pa-ofa/2009/pa200901a.htm</t>
  </si>
  <si>
    <t>http://www.dol.gov/recovery/map/map-eta.htm</t>
  </si>
  <si>
    <t>http://transparency.cit.nih.gov/RecoveryGrants/grant.cfm?grant=HRSA_CIP</t>
  </si>
  <si>
    <t>http://transparency.cit.nih.gov/RecoveryGrants/grant.cfm?grant=nap</t>
  </si>
  <si>
    <t>http://transparency.cit.nih.gov/RecoveryGrants/grant.cfm?grant=IncreasedDemand</t>
  </si>
  <si>
    <t>FFIS estimate</t>
  </si>
  <si>
    <t>http://transparency.cit.nih.gov/RecoveryGrants/grant.cfm?grant=vaccines</t>
  </si>
  <si>
    <t>http://www.fhwa.dot.gov/legsregs/directives/notices/n4510705.htm</t>
  </si>
  <si>
    <t>http://www.fta.dot.gov/index_9440_9289.html</t>
  </si>
  <si>
    <t>http://edocket.access.gpo.gov/2009/pdf/E9-4745.pdf</t>
  </si>
  <si>
    <t>http://www.epa.gov/water/eparecovery/docs/Final_SRF_eco_recovery_allotments.pdf</t>
  </si>
  <si>
    <t>http://www.epa.gov/swerust1/eparecovery/statealloc.htm</t>
  </si>
  <si>
    <t>http://apps1.eere.energy.gov/state_energy_program/recovery_act.cfm</t>
  </si>
  <si>
    <t>http://www.eecbg.energy.gov/grantees/default.html</t>
  </si>
  <si>
    <t>http://www.energy.gov/recovery/documents/EE_EnergyStar_State_Allocations.pdf</t>
  </si>
  <si>
    <t>http://portal.hud.gov/pls/portal/url/ITEM/68ABC226D879255DE04400144F9D3D85</t>
  </si>
  <si>
    <t>http://portal.hud.gov/pls/portal/url/ITEM/6AD2BEB1E623303CE04400144F9D3D85</t>
  </si>
  <si>
    <t>http://portal.hud.gov/pls/portal/url/ITEM/6B0F1A5A27A54F5DE04400144F9D3D85</t>
  </si>
  <si>
    <t>http://portal.hud.gov/portal/page/portal/RECOVERY/programs/HOMELESSNESS_PORTLET/All%20HPRP%20grantees%20and%20amounts%20awarded.xls</t>
  </si>
  <si>
    <t>http://portal.hud.gov/pls/portal/url/ITEM/6B0FC9AE3FE858FFE04400144F9D3D85</t>
  </si>
  <si>
    <t>http://portal.hud.gov/pls/portal/url/ITEM/6B0E6B59D97F468BE04400144F9D3D85</t>
  </si>
  <si>
    <t>http://portal.hud.gov/pls/portal/url/ITEM/6B11841584926E71E04400144F9D3D85</t>
  </si>
  <si>
    <t>http://www.dol.gov/opa/media/press/eta/eta20090637.htm</t>
  </si>
  <si>
    <t>http://www.ojp.usdoj.gov/recovery/Tribalcorrectional_Awards.htm</t>
  </si>
  <si>
    <t>http://www.ojp.usdoj.gov/recovery/RLEA_Awards.htm</t>
  </si>
  <si>
    <t>http://www.ojp.usdoj.gov/recovery/HIDTA_Awards.htm</t>
  </si>
  <si>
    <t>http://www.ojp.usdoj.gov/recovery/Byrne_Awards.htm</t>
  </si>
  <si>
    <t>As of 9/30/09</t>
  </si>
  <si>
    <t>http://www.cops.usdoj.gov/Default.asp?Item=2208</t>
  </si>
  <si>
    <t>http://www.ovw.usdoj.gov/recovery-awards.htm</t>
  </si>
  <si>
    <t>http://www.eda.gov/NewsEvents/NewInvestments.xml</t>
  </si>
  <si>
    <t>http://www.doleta.gov/youth_services/pdf/Complete_YouthBuild_Grants_2009_List.pdf</t>
  </si>
  <si>
    <t>http://www.doleta.gov/Recovery/news.cfm</t>
  </si>
  <si>
    <t>http://www.nationalservice.gov/about/newsroom/releases_detail.asp?tbl_pr_id=1340#ARGSC</t>
  </si>
  <si>
    <t xml:space="preserve">http://www.fema.gov/government/grant/efs2009.shtm </t>
  </si>
  <si>
    <t>http://www.acf.hhs.gov/programs/ccb/law/allocations/current/state2009/2009_arra.htm</t>
  </si>
  <si>
    <t>http://www.cms.hhs.gov/SMDL/SMD/itemdetail.asp?filterType=none&amp;filterByDID=0&amp;sortByDID=1&amp;sortOrder=descending&amp;itemID=CMS1227962&amp;intNumPerPage=10</t>
  </si>
  <si>
    <t>http://www.hhs.gov/recovery/cms/dsh.html</t>
  </si>
  <si>
    <t>http://www.acf.hhs.gov/programs/cb/laws_policies/policy/pi/2009/pi0903.htm</t>
  </si>
  <si>
    <t>http://bphc.hrsa.gov/recovery/cip/</t>
  </si>
  <si>
    <t>http://bphc.hrsa.gov/recovery/ids/</t>
  </si>
  <si>
    <t>http://bphc.hrsa.gov/recovery/</t>
  </si>
  <si>
    <t>http://www.hhs.gov/recovery/programs/cdc/immunizationgrant.html</t>
  </si>
  <si>
    <t>http://www.ed.gov/policy/gen/leg/recovery/programs.html</t>
  </si>
  <si>
    <t>http://www.fhwa.dot.gov/economicrecovery/guidancelist.htm</t>
  </si>
  <si>
    <t>http://www.fta.dot.gov/index_9440_9922.html</t>
  </si>
  <si>
    <t>http://www.fta.dot.gov/index_9440_9917.html</t>
  </si>
  <si>
    <t>http://www.epa.gov/water/eparecovery/</t>
  </si>
  <si>
    <t>http://www.epa.gov/swerust1/eparecovery/index.htm</t>
  </si>
  <si>
    <t>http://recovery.doi.gov/press/bureaus/national-park-service/national-park-service-investments-by-state/</t>
  </si>
  <si>
    <t>http://recovery.doi.gov/press/wp-content/uploads/2009/05/blm-recovery-act-projects.pdf</t>
  </si>
  <si>
    <t>http://recovery.doi.gov/docs/bor/project_list_summary.pdf</t>
  </si>
  <si>
    <t>http://www.fs.fed.us/fstoday/090619/02National_News/FS_ARRA_Projects_approved_as_of_090623.pdf#xml=http://www.fs.fed.us/cgi-bin/texis/searchallsites/search.allsites/xml.txt?query=ARRA&amp;db=allsites&amp;id=4a44c3280</t>
  </si>
  <si>
    <t>http://www.nrcs.usda.gov/recovery/</t>
  </si>
  <si>
    <t>Forest Service Total*</t>
  </si>
  <si>
    <t>Rural Water Projects</t>
  </si>
  <si>
    <t>WIC EBT Grants</t>
  </si>
  <si>
    <t>WIC State Agency Model Transfer Grants</t>
  </si>
  <si>
    <t>As of 9/23/09</t>
  </si>
  <si>
    <t>http://www.usda.gov/wps/portal/!ut/p/_s.7_0_A/7_0_1OB?contentidonly=true&amp;contentid=2009/09/0462.xml</t>
  </si>
  <si>
    <t>Total WIC MIS Grants</t>
  </si>
  <si>
    <t>http://apps1.eere.energy.gov/wip/block_grants.cfm</t>
  </si>
  <si>
    <t>http://apps1.eere.energy.gov/news/daily.cfm/hp_news_id=178</t>
  </si>
  <si>
    <t>http://www.fema.gov/government/grant/efs.shtm</t>
  </si>
  <si>
    <t>http://www.fns.usda.gov/fdd/programs/tefap/tefap_guidance.htm</t>
  </si>
  <si>
    <t>http://www.fns.usda.gov/fns/recovery/recovery-snap.htm</t>
  </si>
  <si>
    <t>http://www.fns.usda.gov/snap/rules/Memo/2009/030609a.pdf</t>
  </si>
  <si>
    <t>http://www.fns.usda.gov/fns/recovery/recovery-nslp.htm</t>
  </si>
  <si>
    <t>http://www.aoa.gov/AoAroot/PRESS_Room/News/2009/03_18_09.aspx</t>
  </si>
  <si>
    <t>http://www.acf.hhs.gov/programs/ccb/initiatives/arra/index.htm</t>
  </si>
  <si>
    <t>http://www.hhs.gov/recovery/programs/acf/hs-ehs.html</t>
  </si>
  <si>
    <t>http://www.hhs.gov/recovery/programs/acf/csbg.html</t>
  </si>
  <si>
    <t>http://transparency.cit.nih.gov/RecoveryGrants/grant.cfm?grant=csbg</t>
  </si>
  <si>
    <t>http://www.hud.gov/offices/pih/programs/ph/capfund/ocir.cfm</t>
  </si>
  <si>
    <t>http://portal.hud.gov/portal/page/portal/RECOVERY/programs/COMMUNITY</t>
  </si>
  <si>
    <t>http://portal.hud.gov/portal/page/portal/RECOVERY/programs/TAX</t>
  </si>
  <si>
    <t>http://www.hudhre.info/HPRP/</t>
  </si>
  <si>
    <t>http://www.hhs.gov/recovery/programs/hrsa/healthprofessionsawardeesbystate.html</t>
  </si>
  <si>
    <t>As of 9/11/09</t>
  </si>
  <si>
    <t>http://www.acf.hhs.gov/programs/ofa/policy/pa-ofa/2009/pa200901.htm</t>
  </si>
  <si>
    <t>http://www.acf.hhs.gov/news/press/2009/scf_chart.html</t>
  </si>
  <si>
    <t>State Loan Repayment Program</t>
  </si>
  <si>
    <t>State Primary Care Offices</t>
  </si>
  <si>
    <t>http://www.hud.gov/offices/pih/ih/recovery.cfm</t>
  </si>
  <si>
    <t>As of 10/7/09</t>
  </si>
  <si>
    <t>http://www.waptac.org/sp.asp?id=6878</t>
  </si>
  <si>
    <t>Actual 6/29/09</t>
  </si>
  <si>
    <t>Actual 3/27/09</t>
  </si>
  <si>
    <t>http://inside.ffis.org//ff/SEP_guidance.pdf</t>
  </si>
  <si>
    <t>Actual 4/8/09</t>
  </si>
  <si>
    <t>Actual 4/15/09</t>
  </si>
  <si>
    <t>http://www.energy.gov/news2009/7791.htm</t>
  </si>
  <si>
    <t>http://www.energy.gov/news2009/7851.htm</t>
  </si>
  <si>
    <t>http://www.epa.gov/brownfields/grant_announce/arrareglist.pdf</t>
  </si>
  <si>
    <t>http://www.epa.gov/brownfields/grant_announce/recovact5509.pdf</t>
  </si>
  <si>
    <t>http://epa.gov/otaq/diesel/projnational-aara.htm</t>
  </si>
  <si>
    <t>http://www.dhs.gov/ynews/releases/pr_1248891182416.shtm</t>
  </si>
  <si>
    <t>http://www.hud.gov/offices/lead/09NOFA/leadcombo.cfm</t>
  </si>
  <si>
    <t>http://www.hud.gov/offices/pih/ih/</t>
  </si>
  <si>
    <t>http://portal.hud.gov/portal/page/portal/RECOVERY/programs/PROJECT</t>
  </si>
  <si>
    <t>http://www.hhs.gov/news/press/2009pres/09/20090930c.html</t>
  </si>
  <si>
    <t>As of 10/06/09</t>
  </si>
  <si>
    <t>http://www.rurdev.usda.gov/rd/newsroom/news.htm</t>
  </si>
  <si>
    <t>http://www.acf.hhs.gov/programs/cse/pol/AT/2009/at-09-02.htm</t>
  </si>
  <si>
    <t>Child Support</t>
  </si>
  <si>
    <t>Updated 4/15/09</t>
  </si>
  <si>
    <t>http://www.ojp.usdoj.gov/BJA/recoveryact.html</t>
  </si>
  <si>
    <t>http://www.ovw.usdoj.gov/recovery-applicants.htm</t>
  </si>
  <si>
    <t>As of 7/14/09</t>
  </si>
  <si>
    <t>http://www.fhwa.dot.gov/pressroom/fhwa0921.htm</t>
  </si>
  <si>
    <t>http://edocket.access.gpo.gov/2009/pdf/E9-10963.pdf</t>
  </si>
  <si>
    <t>As of 4/14/09</t>
  </si>
  <si>
    <t>As of 8/10/09</t>
  </si>
  <si>
    <t>Actual 8/10/09</t>
  </si>
  <si>
    <t>As of 5/1/09</t>
  </si>
  <si>
    <t>As of 9/4/09</t>
  </si>
  <si>
    <t>Actual 5/11/09</t>
  </si>
  <si>
    <t>http://wdr.doleta.gov/directives/corr_doc.cfm?DOCN=2772</t>
  </si>
  <si>
    <t>http://wdr.doleta.gov/directives/corr_doc.cfm?docn=2730</t>
  </si>
  <si>
    <t>http://wdr.doleta.gov/directives/corr_doc.cfm?DOCN=2728</t>
  </si>
  <si>
    <t>http://www.doleta.gov/Recovery/legislation.cfm</t>
  </si>
  <si>
    <t>http://transparency.cit.nih.gov/RecoveryGrants/grant.cfm?grant=DSH</t>
  </si>
  <si>
    <t>http://transparency.cit.nih.gov/RecoveryGrants/grant.cfm?grant=Reinvestment</t>
  </si>
  <si>
    <t>http://www.nationalservice.gov/about/recovery/index.asp</t>
  </si>
  <si>
    <t>http://arts.endow.gov/recovery/grants/ARRA-grants-to-states-regions.html</t>
  </si>
  <si>
    <t>http://arts.endow.gov/grants/apply/recovery-states/index.html</t>
  </si>
  <si>
    <t>IL Services for</t>
  </si>
  <si>
    <t>Older Blind Indiv.</t>
  </si>
  <si>
    <t>Underground Storage</t>
  </si>
  <si>
    <t>Environmental Protection Agency</t>
  </si>
  <si>
    <t>Dept. of Homeland Security</t>
  </si>
  <si>
    <t>Department of Agriculture</t>
  </si>
  <si>
    <t xml:space="preserve">Program (HOME) </t>
  </si>
  <si>
    <t>Tax Credit Assist.</t>
  </si>
  <si>
    <t>Housing BG</t>
  </si>
  <si>
    <t>Comm. Service</t>
  </si>
  <si>
    <t>Corp. for Nat'l &amp; Comm. Service</t>
  </si>
  <si>
    <t>Nat'l Endowment</t>
  </si>
  <si>
    <t>Dept. of Veterans Affairs</t>
  </si>
  <si>
    <t>NEA</t>
  </si>
  <si>
    <t>http://www.va.gov/RECOVERY/docs/Grants_-_By_State.pdf</t>
  </si>
  <si>
    <t>http://www.va.gov/recovery/Agency_Plans_and_Reports.asp</t>
  </si>
  <si>
    <t>http://www.va.gov/RECOVERY/docs/NCA_-_By_State.pdf</t>
  </si>
  <si>
    <t>http://www.va.gov/RECOVERY/docs/Updated-VHA-ByState.pdf</t>
  </si>
  <si>
    <t xml:space="preserve">AmeriCorps Formula </t>
  </si>
  <si>
    <t>http://wdr.doleta.gov/directives/corr_doc.cfm?DOCN=2715</t>
  </si>
  <si>
    <t>Actual 10/19/2009</t>
  </si>
  <si>
    <t>Part C-Infants</t>
  </si>
  <si>
    <t xml:space="preserve">Impact Aid </t>
  </si>
  <si>
    <t>Supplemental Guidance on Job Creation/Retention Reporting</t>
  </si>
  <si>
    <t>http://recovery.commerce.gov/JobCreationGuidance</t>
  </si>
  <si>
    <t>Department of the Interior</t>
  </si>
  <si>
    <t>Interior Recipient Reporting Guidance</t>
  </si>
  <si>
    <t>http://www.ed.gov/policy/gen/leg/recovery/section-1512.html</t>
  </si>
  <si>
    <t>Recipient Reporting Requirements</t>
  </si>
  <si>
    <t>http://www.ed.gov/policy/gen/leg/recovery/reporting-info-for-fws-20091009.doc</t>
  </si>
  <si>
    <t>http://www.ed.gov/policy/gen/leg/recovery/fws-questions-20091016.doc</t>
  </si>
  <si>
    <t>http://www.ed.gov/policy/gen/leg/recovery/elsec-reporting-tips-summary.doc</t>
  </si>
  <si>
    <t>http://www.ed.gov/policy/gen/leg/recovery/speced-reporting-tips.xls</t>
  </si>
  <si>
    <t>http://www.ed.gov/policy/gen/leg/recovery/fws-tipsheet1009.pdf</t>
  </si>
  <si>
    <t>http://www.epa.gov/recovery/recipient.html</t>
  </si>
  <si>
    <t>Recipient Reporting</t>
  </si>
  <si>
    <t>http://www.epa.gov/water/eparecovery/docs/2009_09_25_604b-ARRA_Recipient_Reporting_Guidance.pdf</t>
  </si>
  <si>
    <t>http://recovery.commerce.gov/RecipientReportingResources</t>
  </si>
  <si>
    <t>Supplemental Guidance on Measuring and Reporting Job Estimates</t>
  </si>
  <si>
    <t>http://epa.gov/recovery/supplement.html</t>
  </si>
  <si>
    <t>http://www.epa.gov/brownfields/eparecovery/index.htm</t>
  </si>
  <si>
    <t>http://www.fema.gov/pdf/government/grant/arra/arra_scg_faqs.pdf</t>
  </si>
  <si>
    <t>http://www.fema.gov/pdf/government/grant/arra/arra_tsgp_faqs.pdf</t>
  </si>
  <si>
    <t>http://www.fema.gov/pdf/government/grant/arra/arra_psgp_faqs.pdf</t>
  </si>
  <si>
    <t>http://portal.hud.gov/portal/page/portal/RECOVERY/programs/TCAP_RESOURCES/TCAP-JOBCOUNT-GUIDE.pdf</t>
  </si>
  <si>
    <t>Recovery Act Reporting Overview</t>
  </si>
  <si>
    <t>http://portal.hud.gov/portal/page/portal/RECOVERY/Reporting</t>
  </si>
  <si>
    <t>http://www.recovery.gov/sites/default/files/HUD%20Job%20Count%20Guidance.pdf</t>
  </si>
  <si>
    <t>Job Count Guidance</t>
  </si>
  <si>
    <t>ARRA Q&amp;A</t>
  </si>
  <si>
    <t>HHS Recovery Act Recipient Reporting Readiness Tool</t>
  </si>
  <si>
    <t>http://taggs.hhs.gov/ReadinessTool/</t>
  </si>
  <si>
    <t>http://www.ojp.gov/recovery/recipientreporting.htm</t>
  </si>
  <si>
    <t>http://www.ovc.gov/fund/Recoveryfunds.html</t>
  </si>
  <si>
    <t>http://wdr.doleta.gov/directives/corr_doc.cfm?DOCN=2792</t>
  </si>
  <si>
    <t xml:space="preserve">Reporting Requirements - Training and Employment Guidance Letter </t>
  </si>
  <si>
    <t>http://wdr.doleta.gov/directives/attach/TEGL/TEGL01-09.pdf</t>
  </si>
  <si>
    <t>http://www.fns.usda.gov/fns/recovery/memos/WIC_registration-reporting.pdf</t>
  </si>
  <si>
    <t>http://www.fns.usda.gov/cnd/Governance/Policy-Memos/2009/SP_36-2009_os.pdf</t>
  </si>
  <si>
    <t>http://www.fns.usda.gov/fdd/programs/tefap/TEFAP-ARRAreportingGuidance.pdf</t>
  </si>
  <si>
    <t>http://www.fns.usda.gov/fns/recovery/memos/TEFAP_080309.pdf</t>
  </si>
  <si>
    <t>Department of Treasury</t>
  </si>
  <si>
    <t>Supplemental USDOT Guidance on Jobs Reporting</t>
  </si>
  <si>
    <t>http://www.dot.gov/recovery/docs/section1512jobsreporting.htm</t>
  </si>
  <si>
    <t>DOT Section 1512 Guidance FAQs</t>
  </si>
  <si>
    <t>http://www.dot.gov/recovery/docs/section1512faq.htm</t>
  </si>
  <si>
    <t>Recipient Reporting Guidance</t>
  </si>
  <si>
    <t>http://www.usda.gov/wps/portal/usdahome?contentidonly=true&amp;contentid=Supp_jobs_guidance.xml</t>
  </si>
  <si>
    <t>http://www.doleta.gov/recovery/Section_1512_FAQs.cfm</t>
  </si>
  <si>
    <t>Departmental Reporting Guidance</t>
  </si>
  <si>
    <t xml:space="preserve">http://www.energy.gov/recovery/ARRA_Reporting_Requirements.htm </t>
  </si>
  <si>
    <t>General ARRA Reporting Guidance by Department</t>
  </si>
  <si>
    <t>Sample Reports/Reporting Guidance</t>
  </si>
  <si>
    <t>http://recovery.doi.gov/press/recipient-reporting/</t>
  </si>
  <si>
    <t>http://www.hhs.gov/recovery/reports/reportingassistance.html</t>
  </si>
  <si>
    <t>Reporting Assistance</t>
  </si>
  <si>
    <t>http://www.acf.hhs.gov/programs/ccb/initiatives/arra/1512/arra_1512.pdf</t>
  </si>
  <si>
    <t>Link(s) to program-specific reporting guidance:</t>
  </si>
  <si>
    <t>Links(s) to reporting tip sheets:</t>
  </si>
  <si>
    <t>Updated 10/26/09</t>
  </si>
  <si>
    <t>As of 10/13/09</t>
  </si>
  <si>
    <t>http://edocket.access.gpo.gov/2009/E9-24479.htm</t>
  </si>
  <si>
    <t>As of 10/08/09</t>
  </si>
  <si>
    <t>http://www.ojp.usdoj.gov/newsroom/pressreleases/2009/OJJDP09157.htm</t>
  </si>
  <si>
    <t>Communities Facilities Loans and Grants</t>
  </si>
  <si>
    <t>As of 10/14/09</t>
  </si>
  <si>
    <t>Rural Development (USDA)</t>
  </si>
  <si>
    <t>Healthy Forests</t>
  </si>
  <si>
    <t>As of 9/9/09</t>
  </si>
  <si>
    <t>Forest Service (USDA)</t>
  </si>
  <si>
    <t>http://www.usda.gov/wps/portal/!ut/p/_s.7_0_A/7_0_1OB?contentidonly=true&amp;contentid=2009/09/0430.xml</t>
  </si>
  <si>
    <t>http://recovery.doi.gov/press/wp-content/uploads/2009/10/fws-arra-project-list_10-08-09.pdf</t>
  </si>
  <si>
    <t>http://www.dhs.gov/ynews/releases/pr_1253638502878.shtm</t>
  </si>
  <si>
    <t>http://www.hud.gov/offices/pih/programs/ph/capfund/ocir/hud95m-elderly.pdf</t>
  </si>
  <si>
    <t>http://www.eda.gov/PDF/Recipient%20Reporting%20Instructions%20for%20web.pdf</t>
  </si>
  <si>
    <t>http://www.eda.gov/PDF/Receipient%20Report%20Spreadsheet%20Template%20for%20web.xls</t>
  </si>
  <si>
    <t>Link(s) to reporting tip sheets/program sample templates:</t>
  </si>
  <si>
    <t>Actual 9/25/09</t>
  </si>
  <si>
    <t>http://www.ntia.doc.gov/</t>
  </si>
  <si>
    <t>As of 10/26/09</t>
  </si>
  <si>
    <t>Actuals 09/24/09</t>
  </si>
  <si>
    <t>http://portal.hud.gov/portal/page/portal/RECOVERY/programs/TCAP_RESOURCES/FederalReporting.gov%20TipSheet.xls</t>
  </si>
  <si>
    <t>As of 10/27/09</t>
  </si>
  <si>
    <t>StateHousingAgency Tax Credits for Affordable Housing</t>
  </si>
  <si>
    <t>As of 10/23/09</t>
  </si>
  <si>
    <t>http://www.irs.gov/pub/irs-drop/n-09-35.pdf</t>
  </si>
  <si>
    <t>IRS Tax-Related Provisions</t>
  </si>
  <si>
    <t>http://www.irs.gov/newsroom/article/0,,id=204335,00.html</t>
  </si>
  <si>
    <t>http://www.treasury.gov/press/releases/reports/housing%20$3%20billion%20mark%20release%20%20final%20_2_.pdf</t>
  </si>
  <si>
    <t>Qualified School Construction Bonds to States</t>
  </si>
  <si>
    <t>Qualified School Construction Bonds to LEAs</t>
  </si>
  <si>
    <t>http://www.irs.gov/pub/irs-drop/n-09-33.pdf</t>
  </si>
  <si>
    <t>http://www.irs.gov/pub/irs-tege/ncrebs_2009_allocations_v1.1.pdf</t>
  </si>
  <si>
    <t>New Clean Renewable Energy Bonds to Public Power Providers</t>
  </si>
  <si>
    <t>New Clean Renewable Energy Bonds to Electric Cooperatives</t>
  </si>
  <si>
    <t>New Clean Renewable Energy Bonds to Governmental Bodies</t>
  </si>
  <si>
    <t>Department of the Treasury</t>
  </si>
  <si>
    <t>Geothermal Development and Research</t>
  </si>
  <si>
    <t>See link below for</t>
  </si>
  <si>
    <t>As of 10/28/09</t>
  </si>
  <si>
    <t>http://www.energy.gov/news2009/documents2009/338M_Geothermal_Project_Descriptions.pdf</t>
  </si>
  <si>
    <t>project allocations</t>
  </si>
  <si>
    <t>ARPA-E</t>
  </si>
  <si>
    <t>http://www.energy.gov/news2009/documents2009/ARPA-E_Project_Selections.pdf</t>
  </si>
  <si>
    <t>Smart Grid Investment Grant</t>
  </si>
  <si>
    <t>Business and Industry Guaranteed Loan Program</t>
  </si>
  <si>
    <t>http://www.usda.gov/wps/portal/!ut/p/_s.7_0_A/7_0_1OB?contentidonly=true&amp;contentid=2009/10/0521.xml</t>
  </si>
  <si>
    <t>As of 10/21/09</t>
  </si>
  <si>
    <t>http://www.rurdev.usda.gov/arra/ARRARecipientReportingRequirements.PDF</t>
  </si>
  <si>
    <t>As of 11/5/09</t>
  </si>
  <si>
    <t>11/06/09</t>
  </si>
  <si>
    <t>Updated 11/5/09</t>
  </si>
  <si>
    <t>Awards through 10/25/09</t>
  </si>
  <si>
    <t>Airport Improvement Discretionary Grants</t>
  </si>
  <si>
    <t>http://www.faa.gov/recovery/programs/</t>
  </si>
  <si>
    <t>http://www.fta.dot.gov/index_9440_10542.html#report</t>
  </si>
  <si>
    <t>http://www.fhwa.dot.gov/economicrecovery/1512reporting.htm</t>
  </si>
  <si>
    <t>http://www.energy.gov/recovery/smartgrid_maps/SGIGSelections_State.pdf</t>
  </si>
  <si>
    <t>Health IT - Comm. Centers</t>
  </si>
  <si>
    <t>http://www.hhs.gov/news/press/2009pres/09/20090929a.html</t>
  </si>
  <si>
    <t>As of 9/29/09</t>
  </si>
  <si>
    <t>http://bphc.hrsa.gov/recovery/hcqr/</t>
  </si>
  <si>
    <t>http://www.cms.hhs.gov/SurveyCertificationGenInfo/Downloads/ASC_HAI_MAP.pdf</t>
  </si>
  <si>
    <t>FY 2009 Ambulatory Surgical Centers</t>
  </si>
  <si>
    <t>FY 2010 Ambulatory Surgical Centers</t>
  </si>
  <si>
    <t>Preventing Healthcare-Assoc. Infections (CDC Portion)</t>
  </si>
  <si>
    <t>http://www.cms.hhs.gov/SurveyCertificationGenInfo/downloads/SCLetter09_43.pdf</t>
  </si>
  <si>
    <t>Estimated FY 2010</t>
  </si>
  <si>
    <t>http://www.whitehouse.gov/omb/recovery_default/</t>
  </si>
  <si>
    <t>Office of Management and Budget Recovery Act reporting guidance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</si>
</sst>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  <numFmt numFmtId="166" formatCode="&quot;$&quot;#,##0.00"/>
    <numFmt numFmtId="167" formatCode="0.00%;[Red]0.00%"/>
    <numFmt numFmtId="168" formatCode="_(&quot;$&quot;* #,##0_);_(&quot;$&quot;* \(#,##0\);_(&quot;$&quot;* &quot;-&quot;??_);_(@_)"/>
    <numFmt numFmtId="169" formatCode="&quot;$&quot;#,##0.000"/>
    <numFmt numFmtId="170" formatCode="&quot;$&quot;#,##0.0000"/>
    <numFmt numFmtId="171" formatCode="&quot;$&quot;#,##0.0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_(* #,##0.0_);_(* \(#,##0.0\);_(* &quot;-&quot;??_);_(@_)"/>
    <numFmt numFmtId="178" formatCode="#,##0.0"/>
    <numFmt numFmtId="179" formatCode="[$-409]dddd\,\ mmmm\ dd\,\ yyyy"/>
    <numFmt numFmtId="180" formatCode="mm/dd/yy;@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.000"/>
    <numFmt numFmtId="186" formatCode="m/d/yy;@"/>
    <numFmt numFmtId="187" formatCode="#,##0.0000"/>
  </numFmts>
  <fonts count="32">
    <font>
      <sz val="10"/>
      <name val="Arial"/>
      <family val="0"/>
    </font>
    <font>
      <b/>
      <i/>
      <sz val="20"/>
      <name val="Arial"/>
      <family val="2"/>
    </font>
    <font>
      <sz val="10"/>
      <name val="CG Times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sz val="10"/>
      <name val="Arial"/>
      <family val="2"/>
    </font>
    <font>
      <b/>
      <sz val="10"/>
      <name val="Times New Roman"/>
      <family val="1"/>
    </font>
    <font>
      <b/>
      <i/>
      <sz val="10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b/>
      <i/>
      <sz val="20"/>
      <name val="Times New Roman"/>
      <family val="1"/>
    </font>
    <font>
      <u val="single"/>
      <sz val="10"/>
      <color indexed="12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334">
    <xf numFmtId="0" fontId="0" fillId="0" borderId="0" xfId="0" applyAlignment="1">
      <alignment/>
    </xf>
    <xf numFmtId="49" fontId="4" fillId="24" borderId="0" xfId="81" applyNumberFormat="1" applyFont="1" applyFill="1" applyBorder="1" applyAlignment="1">
      <alignment/>
      <protection/>
    </xf>
    <xf numFmtId="49" fontId="4" fillId="24" borderId="0" xfId="81" applyNumberFormat="1" applyFont="1" applyFill="1" applyBorder="1" applyAlignment="1">
      <alignment horizontal="right"/>
      <protection/>
    </xf>
    <xf numFmtId="49" fontId="4" fillId="24" borderId="0" xfId="0" applyNumberFormat="1" applyFont="1" applyFill="1" applyAlignment="1">
      <alignment horizontal="right"/>
    </xf>
    <xf numFmtId="49" fontId="3" fillId="24" borderId="0" xfId="0" applyNumberFormat="1" applyFont="1" applyFill="1" applyAlignment="1">
      <alignment/>
    </xf>
    <xf numFmtId="49" fontId="4" fillId="24" borderId="0" xfId="0" applyNumberFormat="1" applyFont="1" applyFill="1" applyBorder="1" applyAlignment="1">
      <alignment horizontal="right"/>
    </xf>
    <xf numFmtId="49" fontId="4" fillId="24" borderId="10" xfId="0" applyNumberFormat="1" applyFont="1" applyFill="1" applyBorder="1" applyAlignment="1">
      <alignment horizontal="right"/>
    </xf>
    <xf numFmtId="0" fontId="6" fillId="24" borderId="10" xfId="0" applyFont="1" applyFill="1" applyBorder="1" applyAlignment="1">
      <alignment horizontal="right"/>
    </xf>
    <xf numFmtId="164" fontId="3" fillId="24" borderId="0" xfId="0" applyNumberFormat="1" applyFont="1" applyFill="1" applyAlignment="1">
      <alignment/>
    </xf>
    <xf numFmtId="3" fontId="3" fillId="24" borderId="0" xfId="0" applyNumberFormat="1" applyFont="1" applyFill="1" applyAlignment="1">
      <alignment/>
    </xf>
    <xf numFmtId="3" fontId="3" fillId="24" borderId="10" xfId="81" applyNumberFormat="1" applyFont="1" applyFill="1" applyBorder="1">
      <alignment/>
      <protection/>
    </xf>
    <xf numFmtId="3" fontId="3" fillId="24" borderId="10" xfId="0" applyNumberFormat="1" applyFont="1" applyFill="1" applyBorder="1" applyAlignment="1">
      <alignment/>
    </xf>
    <xf numFmtId="164" fontId="6" fillId="24" borderId="0" xfId="81" applyNumberFormat="1" applyFont="1" applyFill="1" applyAlignment="1">
      <alignment horizontal="right"/>
      <protection/>
    </xf>
    <xf numFmtId="0" fontId="3" fillId="24" borderId="0" xfId="0" applyFont="1" applyFill="1" applyAlignment="1">
      <alignment/>
    </xf>
    <xf numFmtId="0" fontId="3" fillId="24" borderId="0" xfId="0" applyFont="1" applyFill="1" applyAlignment="1">
      <alignment horizontal="left" wrapText="1"/>
    </xf>
    <xf numFmtId="0" fontId="6" fillId="24" borderId="0" xfId="0" applyFont="1" applyFill="1" applyAlignment="1">
      <alignment/>
    </xf>
    <xf numFmtId="0" fontId="3" fillId="24" borderId="0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3" fontId="3" fillId="24" borderId="0" xfId="0" applyNumberFormat="1" applyFont="1" applyFill="1" applyBorder="1" applyAlignment="1">
      <alignment/>
    </xf>
    <xf numFmtId="0" fontId="3" fillId="24" borderId="0" xfId="0" applyFont="1" applyFill="1" applyAlignment="1">
      <alignment horizontal="right"/>
    </xf>
    <xf numFmtId="3" fontId="3" fillId="24" borderId="0" xfId="0" applyNumberFormat="1" applyFont="1" applyFill="1" applyAlignment="1">
      <alignment horizontal="right"/>
    </xf>
    <xf numFmtId="3" fontId="3" fillId="24" borderId="10" xfId="81" applyNumberFormat="1" applyFont="1" applyFill="1" applyBorder="1" applyAlignment="1">
      <alignment horizontal="right"/>
      <protection/>
    </xf>
    <xf numFmtId="3" fontId="3" fillId="24" borderId="10" xfId="0" applyNumberFormat="1" applyFont="1" applyFill="1" applyBorder="1" applyAlignment="1">
      <alignment horizontal="right"/>
    </xf>
    <xf numFmtId="0" fontId="3" fillId="24" borderId="0" xfId="0" applyFont="1" applyFill="1" applyAlignment="1">
      <alignment horizontal="right" wrapText="1"/>
    </xf>
    <xf numFmtId="0" fontId="6" fillId="24" borderId="0" xfId="0" applyFont="1" applyFill="1" applyAlignment="1">
      <alignment horizontal="right"/>
    </xf>
    <xf numFmtId="0" fontId="3" fillId="24" borderId="0" xfId="0" applyFont="1" applyFill="1" applyBorder="1" applyAlignment="1">
      <alignment horizontal="right"/>
    </xf>
    <xf numFmtId="0" fontId="6" fillId="24" borderId="0" xfId="0" applyFont="1" applyFill="1" applyBorder="1" applyAlignment="1">
      <alignment horizontal="right"/>
    </xf>
    <xf numFmtId="49" fontId="3" fillId="24" borderId="0" xfId="0" applyNumberFormat="1" applyFont="1" applyFill="1" applyBorder="1" applyAlignment="1">
      <alignment/>
    </xf>
    <xf numFmtId="49" fontId="4" fillId="24" borderId="0" xfId="0" applyNumberFormat="1" applyFont="1" applyFill="1" applyBorder="1" applyAlignment="1">
      <alignment/>
    </xf>
    <xf numFmtId="49" fontId="6" fillId="24" borderId="0" xfId="81" applyNumberFormat="1" applyFont="1" applyFill="1" applyBorder="1" applyAlignment="1">
      <alignment horizontal="right"/>
      <protection/>
    </xf>
    <xf numFmtId="49" fontId="6" fillId="24" borderId="0" xfId="0" applyNumberFormat="1" applyFont="1" applyFill="1" applyBorder="1" applyAlignment="1">
      <alignment horizontal="right"/>
    </xf>
    <xf numFmtId="164" fontId="3" fillId="24" borderId="0" xfId="0" applyNumberFormat="1" applyFont="1" applyFill="1" applyBorder="1" applyAlignment="1">
      <alignment horizontal="right"/>
    </xf>
    <xf numFmtId="164" fontId="3" fillId="24" borderId="0" xfId="0" applyNumberFormat="1" applyFont="1" applyFill="1" applyBorder="1" applyAlignment="1">
      <alignment/>
    </xf>
    <xf numFmtId="3" fontId="3" fillId="24" borderId="0" xfId="0" applyNumberFormat="1" applyFont="1" applyFill="1" applyBorder="1" applyAlignment="1">
      <alignment horizontal="right"/>
    </xf>
    <xf numFmtId="3" fontId="3" fillId="24" borderId="0" xfId="81" applyNumberFormat="1" applyFont="1" applyFill="1" applyBorder="1" applyAlignment="1">
      <alignment horizontal="right"/>
      <protection/>
    </xf>
    <xf numFmtId="164" fontId="6" fillId="24" borderId="0" xfId="81" applyNumberFormat="1" applyFont="1" applyFill="1" applyBorder="1" applyAlignment="1">
      <alignment horizontal="right"/>
      <protection/>
    </xf>
    <xf numFmtId="0" fontId="3" fillId="24" borderId="0" xfId="0" applyFont="1" applyFill="1" applyBorder="1" applyAlignment="1">
      <alignment horizontal="right" wrapText="1"/>
    </xf>
    <xf numFmtId="3" fontId="3" fillId="24" borderId="0" xfId="81" applyNumberFormat="1" applyFont="1" applyFill="1" applyBorder="1">
      <alignment/>
      <protection/>
    </xf>
    <xf numFmtId="49" fontId="4" fillId="24" borderId="0" xfId="0" applyNumberFormat="1" applyFont="1" applyFill="1" applyBorder="1" applyAlignment="1">
      <alignment horizontal="center"/>
    </xf>
    <xf numFmtId="49" fontId="4" fillId="24" borderId="10" xfId="81" applyNumberFormat="1" applyFont="1" applyFill="1" applyBorder="1" applyAlignment="1">
      <alignment horizontal="right"/>
      <protection/>
    </xf>
    <xf numFmtId="49" fontId="4" fillId="24" borderId="0" xfId="81" applyNumberFormat="1" applyFont="1" applyFill="1" applyBorder="1" applyAlignment="1">
      <alignment horizontal="center"/>
      <protection/>
    </xf>
    <xf numFmtId="164" fontId="3" fillId="24" borderId="0" xfId="0" applyNumberFormat="1" applyFont="1" applyFill="1" applyAlignment="1">
      <alignment horizontal="right"/>
    </xf>
    <xf numFmtId="3" fontId="1" fillId="24" borderId="0" xfId="81" applyNumberFormat="1" applyFont="1" applyFill="1" applyBorder="1" applyAlignment="1">
      <alignment/>
      <protection/>
    </xf>
    <xf numFmtId="0" fontId="5" fillId="24" borderId="0" xfId="0" applyFont="1" applyFill="1" applyBorder="1" applyAlignment="1">
      <alignment/>
    </xf>
    <xf numFmtId="0" fontId="5" fillId="24" borderId="0" xfId="0" applyFont="1" applyFill="1" applyAlignment="1">
      <alignment/>
    </xf>
    <xf numFmtId="49" fontId="4" fillId="24" borderId="0" xfId="0" applyNumberFormat="1" applyFont="1" applyFill="1" applyBorder="1" applyAlignment="1">
      <alignment horizontal="left"/>
    </xf>
    <xf numFmtId="49" fontId="4" fillId="24" borderId="0" xfId="0" applyNumberFormat="1" applyFont="1" applyFill="1" applyAlignment="1">
      <alignment horizontal="left"/>
    </xf>
    <xf numFmtId="49" fontId="6" fillId="24" borderId="0" xfId="0" applyNumberFormat="1" applyFont="1" applyFill="1" applyBorder="1" applyAlignment="1">
      <alignment/>
    </xf>
    <xf numFmtId="49" fontId="6" fillId="24" borderId="0" xfId="0" applyNumberFormat="1" applyFont="1" applyFill="1" applyAlignment="1">
      <alignment/>
    </xf>
    <xf numFmtId="167" fontId="6" fillId="24" borderId="0" xfId="81" applyNumberFormat="1" applyFont="1" applyFill="1" applyBorder="1" applyAlignment="1">
      <alignment horizontal="center" vertical="center"/>
      <protection/>
    </xf>
    <xf numFmtId="167" fontId="6" fillId="24" borderId="0" xfId="81" applyNumberFormat="1" applyFont="1" applyFill="1" applyAlignment="1">
      <alignment horizontal="center" vertical="center"/>
      <protection/>
    </xf>
    <xf numFmtId="49" fontId="4" fillId="24" borderId="10" xfId="81" applyNumberFormat="1" applyFont="1" applyFill="1" applyBorder="1">
      <alignment/>
      <protection/>
    </xf>
    <xf numFmtId="49" fontId="6" fillId="24" borderId="10" xfId="81" applyNumberFormat="1" applyFont="1" applyFill="1" applyBorder="1" applyAlignment="1">
      <alignment horizontal="left"/>
      <protection/>
    </xf>
    <xf numFmtId="49" fontId="6" fillId="24" borderId="10" xfId="0" applyNumberFormat="1" applyFont="1" applyFill="1" applyBorder="1" applyAlignment="1">
      <alignment horizontal="right"/>
    </xf>
    <xf numFmtId="0" fontId="3" fillId="24" borderId="0" xfId="81" applyFont="1" applyFill="1">
      <alignment/>
      <protection/>
    </xf>
    <xf numFmtId="0" fontId="3" fillId="24" borderId="10" xfId="81" applyFont="1" applyFill="1" applyBorder="1">
      <alignment/>
      <protection/>
    </xf>
    <xf numFmtId="0" fontId="3" fillId="24" borderId="0" xfId="81" applyFont="1" applyFill="1" applyBorder="1">
      <alignment/>
      <protection/>
    </xf>
    <xf numFmtId="5" fontId="6" fillId="24" borderId="0" xfId="81" applyNumberFormat="1" applyFont="1" applyFill="1" applyAlignment="1">
      <alignment horizontal="left"/>
      <protection/>
    </xf>
    <xf numFmtId="14" fontId="3" fillId="24" borderId="0" xfId="0" applyNumberFormat="1" applyFont="1" applyFill="1" applyBorder="1" applyAlignment="1">
      <alignment horizontal="left" wrapText="1"/>
    </xf>
    <xf numFmtId="49" fontId="4" fillId="24" borderId="11" xfId="81" applyNumberFormat="1" applyFont="1" applyFill="1" applyBorder="1" applyAlignment="1">
      <alignment horizontal="right"/>
      <protection/>
    </xf>
    <xf numFmtId="49" fontId="6" fillId="24" borderId="10" xfId="81" applyNumberFormat="1" applyFont="1" applyFill="1" applyBorder="1" applyAlignment="1">
      <alignment horizontal="right"/>
      <protection/>
    </xf>
    <xf numFmtId="3" fontId="3" fillId="24" borderId="0" xfId="81" applyNumberFormat="1" applyFont="1" applyFill="1">
      <alignment/>
      <protection/>
    </xf>
    <xf numFmtId="49" fontId="4" fillId="24" borderId="0" xfId="81" applyNumberFormat="1" applyFont="1" applyFill="1" applyBorder="1" applyAlignment="1">
      <alignment horizontal="left"/>
      <protection/>
    </xf>
    <xf numFmtId="49" fontId="6" fillId="24" borderId="11" xfId="0" applyNumberFormat="1" applyFont="1" applyFill="1" applyBorder="1" applyAlignment="1">
      <alignment horizontal="right"/>
    </xf>
    <xf numFmtId="49" fontId="6" fillId="24" borderId="0" xfId="0" applyNumberFormat="1" applyFont="1" applyFill="1" applyAlignment="1">
      <alignment horizontal="right"/>
    </xf>
    <xf numFmtId="49" fontId="7" fillId="24" borderId="10" xfId="0" applyNumberFormat="1" applyFont="1" applyFill="1" applyBorder="1" applyAlignment="1">
      <alignment horizontal="right"/>
    </xf>
    <xf numFmtId="175" fontId="6" fillId="24" borderId="10" xfId="0" applyNumberFormat="1" applyFont="1" applyFill="1" applyBorder="1" applyAlignment="1">
      <alignment horizontal="right"/>
    </xf>
    <xf numFmtId="37" fontId="3" fillId="24" borderId="0" xfId="0" applyNumberFormat="1" applyFont="1" applyFill="1" applyAlignment="1" applyProtection="1">
      <alignment/>
      <protection/>
    </xf>
    <xf numFmtId="164" fontId="3" fillId="24" borderId="0" xfId="42" applyNumberFormat="1" applyFont="1" applyFill="1" applyAlignment="1">
      <alignment/>
    </xf>
    <xf numFmtId="164" fontId="3" fillId="24" borderId="0" xfId="42" applyNumberFormat="1" applyFont="1" applyFill="1" applyBorder="1" applyAlignment="1">
      <alignment/>
    </xf>
    <xf numFmtId="3" fontId="3" fillId="24" borderId="0" xfId="42" applyNumberFormat="1" applyFont="1" applyFill="1" applyAlignment="1">
      <alignment/>
    </xf>
    <xf numFmtId="3" fontId="3" fillId="24" borderId="0" xfId="42" applyNumberFormat="1" applyFont="1" applyFill="1" applyBorder="1" applyAlignment="1">
      <alignment horizontal="right"/>
    </xf>
    <xf numFmtId="165" fontId="3" fillId="24" borderId="0" xfId="42" applyNumberFormat="1" applyFont="1" applyFill="1" applyBorder="1" applyAlignment="1">
      <alignment/>
    </xf>
    <xf numFmtId="37" fontId="3" fillId="24" borderId="10" xfId="0" applyNumberFormat="1" applyFont="1" applyFill="1" applyBorder="1" applyAlignment="1" applyProtection="1">
      <alignment/>
      <protection/>
    </xf>
    <xf numFmtId="3" fontId="3" fillId="24" borderId="10" xfId="42" applyNumberFormat="1" applyFont="1" applyFill="1" applyBorder="1" applyAlignment="1">
      <alignment/>
    </xf>
    <xf numFmtId="3" fontId="3" fillId="24" borderId="0" xfId="42" applyNumberFormat="1" applyFont="1" applyFill="1" applyBorder="1" applyAlignment="1">
      <alignment/>
    </xf>
    <xf numFmtId="164" fontId="6" fillId="24" borderId="0" xfId="58" applyNumberFormat="1" applyFont="1" applyFill="1" applyBorder="1" applyAlignment="1">
      <alignment horizontal="right"/>
    </xf>
    <xf numFmtId="5" fontId="3" fillId="24" borderId="0" xfId="0" applyNumberFormat="1" applyFont="1" applyFill="1" applyAlignment="1">
      <alignment horizontal="right"/>
    </xf>
    <xf numFmtId="0" fontId="6" fillId="24" borderId="0" xfId="0" applyFont="1" applyFill="1" applyAlignment="1">
      <alignment wrapText="1"/>
    </xf>
    <xf numFmtId="49" fontId="6" fillId="7" borderId="0" xfId="0" applyNumberFormat="1" applyFont="1" applyFill="1" applyAlignment="1">
      <alignment/>
    </xf>
    <xf numFmtId="49" fontId="4" fillId="7" borderId="0" xfId="0" applyNumberFormat="1" applyFont="1" applyFill="1" applyBorder="1" applyAlignment="1">
      <alignment horizontal="center"/>
    </xf>
    <xf numFmtId="49" fontId="4" fillId="7" borderId="0" xfId="0" applyNumberFormat="1" applyFont="1" applyFill="1" applyBorder="1" applyAlignment="1">
      <alignment horizontal="right"/>
    </xf>
    <xf numFmtId="49" fontId="4" fillId="7" borderId="0" xfId="81" applyNumberFormat="1" applyFont="1" applyFill="1" applyBorder="1" applyAlignment="1">
      <alignment horizontal="right"/>
      <protection/>
    </xf>
    <xf numFmtId="49" fontId="4" fillId="7" borderId="10" xfId="0" applyNumberFormat="1" applyFont="1" applyFill="1" applyBorder="1" applyAlignment="1">
      <alignment horizontal="right"/>
    </xf>
    <xf numFmtId="49" fontId="6" fillId="7" borderId="10" xfId="0" applyNumberFormat="1" applyFont="1" applyFill="1" applyBorder="1" applyAlignment="1">
      <alignment horizontal="right"/>
    </xf>
    <xf numFmtId="49" fontId="6" fillId="7" borderId="0" xfId="0" applyNumberFormat="1" applyFont="1" applyFill="1" applyBorder="1" applyAlignment="1">
      <alignment horizontal="right"/>
    </xf>
    <xf numFmtId="0" fontId="6" fillId="7" borderId="10" xfId="0" applyFont="1" applyFill="1" applyBorder="1" applyAlignment="1">
      <alignment horizontal="right"/>
    </xf>
    <xf numFmtId="164" fontId="3" fillId="7" borderId="0" xfId="0" applyNumberFormat="1" applyFont="1" applyFill="1" applyAlignment="1">
      <alignment horizontal="right"/>
    </xf>
    <xf numFmtId="164" fontId="3" fillId="7" borderId="0" xfId="0" applyNumberFormat="1" applyFont="1" applyFill="1" applyBorder="1" applyAlignment="1">
      <alignment horizontal="right"/>
    </xf>
    <xf numFmtId="3" fontId="3" fillId="7" borderId="0" xfId="0" applyNumberFormat="1" applyFont="1" applyFill="1" applyBorder="1" applyAlignment="1">
      <alignment horizontal="right"/>
    </xf>
    <xf numFmtId="3" fontId="3" fillId="7" borderId="0" xfId="0" applyNumberFormat="1" applyFont="1" applyFill="1" applyAlignment="1">
      <alignment horizontal="right"/>
    </xf>
    <xf numFmtId="3" fontId="3" fillId="7" borderId="10" xfId="0" applyNumberFormat="1" applyFont="1" applyFill="1" applyBorder="1" applyAlignment="1">
      <alignment horizontal="right"/>
    </xf>
    <xf numFmtId="3" fontId="3" fillId="7" borderId="10" xfId="81" applyNumberFormat="1" applyFont="1" applyFill="1" applyBorder="1" applyAlignment="1">
      <alignment horizontal="right"/>
      <protection/>
    </xf>
    <xf numFmtId="164" fontId="6" fillId="7" borderId="0" xfId="81" applyNumberFormat="1" applyFont="1" applyFill="1" applyAlignment="1">
      <alignment horizontal="right"/>
      <protection/>
    </xf>
    <xf numFmtId="3" fontId="3" fillId="7" borderId="0" xfId="0" applyNumberFormat="1" applyFont="1" applyFill="1" applyAlignment="1">
      <alignment/>
    </xf>
    <xf numFmtId="3" fontId="3" fillId="7" borderId="0" xfId="0" applyNumberFormat="1" applyFont="1" applyFill="1" applyBorder="1" applyAlignment="1">
      <alignment/>
    </xf>
    <xf numFmtId="0" fontId="3" fillId="7" borderId="0" xfId="0" applyFont="1" applyFill="1" applyAlignment="1">
      <alignment/>
    </xf>
    <xf numFmtId="0" fontId="3" fillId="7" borderId="0" xfId="0" applyFont="1" applyFill="1" applyBorder="1" applyAlignment="1">
      <alignment/>
    </xf>
    <xf numFmtId="0" fontId="6" fillId="7" borderId="0" xfId="0" applyFont="1" applyFill="1" applyAlignment="1">
      <alignment/>
    </xf>
    <xf numFmtId="0" fontId="6" fillId="7" borderId="0" xfId="0" applyFont="1" applyFill="1" applyBorder="1" applyAlignment="1">
      <alignment/>
    </xf>
    <xf numFmtId="167" fontId="6" fillId="7" borderId="0" xfId="81" applyNumberFormat="1" applyFont="1" applyFill="1" applyAlignment="1">
      <alignment horizontal="center" vertical="center"/>
      <protection/>
    </xf>
    <xf numFmtId="167" fontId="6" fillId="7" borderId="0" xfId="81" applyNumberFormat="1" applyFont="1" applyFill="1" applyBorder="1" applyAlignment="1">
      <alignment horizontal="center" vertical="center"/>
      <protection/>
    </xf>
    <xf numFmtId="3" fontId="3" fillId="7" borderId="10" xfId="81" applyNumberFormat="1" applyFont="1" applyFill="1" applyBorder="1">
      <alignment/>
      <protection/>
    </xf>
    <xf numFmtId="3" fontId="3" fillId="7" borderId="10" xfId="0" applyNumberFormat="1" applyFont="1" applyFill="1" applyBorder="1" applyAlignment="1">
      <alignment/>
    </xf>
    <xf numFmtId="49" fontId="3" fillId="7" borderId="0" xfId="0" applyNumberFormat="1" applyFont="1" applyFill="1" applyBorder="1" applyAlignment="1">
      <alignment/>
    </xf>
    <xf numFmtId="164" fontId="3" fillId="7" borderId="0" xfId="0" applyNumberFormat="1" applyFont="1" applyFill="1" applyBorder="1" applyAlignment="1">
      <alignment/>
    </xf>
    <xf numFmtId="0" fontId="3" fillId="7" borderId="0" xfId="0" applyFont="1" applyFill="1" applyBorder="1" applyAlignment="1">
      <alignment horizontal="right"/>
    </xf>
    <xf numFmtId="49" fontId="6" fillId="7" borderId="11" xfId="0" applyNumberFormat="1" applyFont="1" applyFill="1" applyBorder="1" applyAlignment="1">
      <alignment horizontal="right"/>
    </xf>
    <xf numFmtId="164" fontId="6" fillId="7" borderId="0" xfId="0" applyNumberFormat="1" applyFont="1" applyFill="1" applyAlignment="1">
      <alignment/>
    </xf>
    <xf numFmtId="3" fontId="6" fillId="7" borderId="0" xfId="42" applyNumberFormat="1" applyFont="1" applyFill="1" applyAlignment="1">
      <alignment/>
    </xf>
    <xf numFmtId="3" fontId="6" fillId="7" borderId="10" xfId="42" applyNumberFormat="1" applyFont="1" applyFill="1" applyBorder="1" applyAlignment="1">
      <alignment/>
    </xf>
    <xf numFmtId="164" fontId="6" fillId="7" borderId="0" xfId="42" applyNumberFormat="1" applyFont="1" applyFill="1" applyBorder="1" applyAlignment="1">
      <alignment horizontal="right"/>
    </xf>
    <xf numFmtId="0" fontId="6" fillId="7" borderId="11" xfId="0" applyFont="1" applyFill="1" applyBorder="1" applyAlignment="1">
      <alignment horizontal="right"/>
    </xf>
    <xf numFmtId="164" fontId="6" fillId="7" borderId="0" xfId="58" applyNumberFormat="1" applyFont="1" applyFill="1" applyBorder="1" applyAlignment="1">
      <alignment horizontal="right"/>
    </xf>
    <xf numFmtId="0" fontId="3" fillId="24" borderId="10" xfId="0" applyFont="1" applyFill="1" applyBorder="1" applyAlignment="1">
      <alignment/>
    </xf>
    <xf numFmtId="0" fontId="3" fillId="0" borderId="0" xfId="81" applyFont="1" applyFill="1">
      <alignment/>
      <protection/>
    </xf>
    <xf numFmtId="3" fontId="3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Alignment="1">
      <alignment horizontal="right"/>
    </xf>
    <xf numFmtId="3" fontId="3" fillId="0" borderId="0" xfId="0" applyNumberFormat="1" applyFont="1" applyFill="1" applyAlignment="1">
      <alignment/>
    </xf>
    <xf numFmtId="3" fontId="3" fillId="0" borderId="0" xfId="81" applyNumberFormat="1" applyFont="1" applyFill="1">
      <alignment/>
      <protection/>
    </xf>
    <xf numFmtId="3" fontId="3" fillId="0" borderId="0" xfId="81" applyNumberFormat="1" applyFont="1" applyFill="1" applyBorder="1">
      <alignment/>
      <protection/>
    </xf>
    <xf numFmtId="3" fontId="3" fillId="0" borderId="0" xfId="0" applyNumberFormat="1" applyFont="1" applyFill="1" applyBorder="1" applyAlignment="1">
      <alignment/>
    </xf>
    <xf numFmtId="37" fontId="3" fillId="0" borderId="0" xfId="0" applyNumberFormat="1" applyFont="1" applyFill="1" applyAlignment="1" applyProtection="1">
      <alignment/>
      <protection/>
    </xf>
    <xf numFmtId="3" fontId="3" fillId="0" borderId="0" xfId="42" applyNumberFormat="1" applyFont="1" applyFill="1" applyBorder="1" applyAlignment="1">
      <alignment/>
    </xf>
    <xf numFmtId="3" fontId="3" fillId="0" borderId="0" xfId="42" applyNumberFormat="1" applyFont="1" applyFill="1" applyBorder="1" applyAlignment="1">
      <alignment horizontal="right"/>
    </xf>
    <xf numFmtId="165" fontId="3" fillId="0" borderId="0" xfId="42" applyNumberFormat="1" applyFont="1" applyFill="1" applyBorder="1" applyAlignment="1">
      <alignment/>
    </xf>
    <xf numFmtId="0" fontId="3" fillId="0" borderId="0" xfId="0" applyFont="1" applyFill="1" applyAlignment="1">
      <alignment/>
    </xf>
    <xf numFmtId="164" fontId="6" fillId="0" borderId="0" xfId="81" applyNumberFormat="1" applyFont="1" applyFill="1" applyAlignment="1">
      <alignment horizontal="right"/>
      <protection/>
    </xf>
    <xf numFmtId="49" fontId="6" fillId="24" borderId="11" xfId="81" applyNumberFormat="1" applyFont="1" applyFill="1" applyBorder="1" applyAlignment="1">
      <alignment horizontal="right"/>
      <protection/>
    </xf>
    <xf numFmtId="49" fontId="7" fillId="24" borderId="0" xfId="0" applyNumberFormat="1" applyFont="1" applyFill="1" applyBorder="1" applyAlignment="1">
      <alignment horizontal="right"/>
    </xf>
    <xf numFmtId="164" fontId="6" fillId="0" borderId="0" xfId="81" applyNumberFormat="1" applyFont="1" applyFill="1" applyBorder="1" applyAlignment="1">
      <alignment horizontal="right"/>
      <protection/>
    </xf>
    <xf numFmtId="49" fontId="4" fillId="24" borderId="0" xfId="0" applyNumberFormat="1" applyFont="1" applyFill="1" applyBorder="1" applyAlignment="1">
      <alignment/>
    </xf>
    <xf numFmtId="164" fontId="6" fillId="24" borderId="0" xfId="0" applyNumberFormat="1" applyFont="1" applyFill="1" applyAlignment="1">
      <alignment/>
    </xf>
    <xf numFmtId="164" fontId="6" fillId="24" borderId="0" xfId="0" applyNumberFormat="1" applyFont="1" applyFill="1" applyBorder="1" applyAlignment="1">
      <alignment/>
    </xf>
    <xf numFmtId="14" fontId="3" fillId="24" borderId="0" xfId="0" applyNumberFormat="1" applyFont="1" applyFill="1" applyBorder="1" applyAlignment="1">
      <alignment horizontal="right" wrapText="1"/>
    </xf>
    <xf numFmtId="14" fontId="3" fillId="24" borderId="0" xfId="0" applyNumberFormat="1" applyFont="1" applyFill="1" applyAlignment="1">
      <alignment horizontal="right" wrapText="1"/>
    </xf>
    <xf numFmtId="0" fontId="6" fillId="24" borderId="11" xfId="0" applyFont="1" applyFill="1" applyBorder="1" applyAlignment="1">
      <alignment horizontal="right"/>
    </xf>
    <xf numFmtId="3" fontId="3" fillId="0" borderId="10" xfId="0" applyNumberFormat="1" applyFont="1" applyFill="1" applyBorder="1" applyAlignment="1">
      <alignment/>
    </xf>
    <xf numFmtId="49" fontId="10" fillId="24" borderId="10" xfId="0" applyNumberFormat="1" applyFont="1" applyFill="1" applyBorder="1" applyAlignment="1">
      <alignment/>
    </xf>
    <xf numFmtId="49" fontId="3" fillId="7" borderId="0" xfId="0" applyNumberFormat="1" applyFont="1" applyFill="1" applyAlignment="1">
      <alignment/>
    </xf>
    <xf numFmtId="14" fontId="3" fillId="24" borderId="0" xfId="0" applyNumberFormat="1" applyFont="1" applyFill="1" applyBorder="1" applyAlignment="1">
      <alignment/>
    </xf>
    <xf numFmtId="0" fontId="6" fillId="24" borderId="0" xfId="0" applyFont="1" applyFill="1" applyBorder="1" applyAlignment="1">
      <alignment horizontal="center"/>
    </xf>
    <xf numFmtId="3" fontId="3" fillId="0" borderId="10" xfId="0" applyNumberFormat="1" applyFont="1" applyBorder="1" applyAlignment="1">
      <alignment/>
    </xf>
    <xf numFmtId="3" fontId="3" fillId="0" borderId="0" xfId="46" applyNumberFormat="1" applyFont="1" applyFill="1" applyBorder="1" applyAlignment="1">
      <alignment/>
    </xf>
    <xf numFmtId="3" fontId="3" fillId="24" borderId="0" xfId="0" applyNumberFormat="1" applyFont="1" applyFill="1" applyAlignment="1">
      <alignment horizontal="right" wrapText="1"/>
    </xf>
    <xf numFmtId="3" fontId="3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24" borderId="0" xfId="0" applyNumberFormat="1" applyFont="1" applyFill="1" applyAlignment="1">
      <alignment horizontal="left"/>
    </xf>
    <xf numFmtId="3" fontId="4" fillId="0" borderId="0" xfId="0" applyNumberFormat="1" applyFont="1" applyBorder="1" applyAlignment="1">
      <alignment horizontal="right"/>
    </xf>
    <xf numFmtId="3" fontId="4" fillId="24" borderId="10" xfId="81" applyNumberFormat="1" applyFont="1" applyFill="1" applyBorder="1" applyAlignment="1">
      <alignment horizontal="right"/>
      <protection/>
    </xf>
    <xf numFmtId="3" fontId="6" fillId="24" borderId="10" xfId="81" applyNumberFormat="1" applyFont="1" applyFill="1" applyBorder="1" applyAlignment="1">
      <alignment horizontal="right"/>
      <protection/>
    </xf>
    <xf numFmtId="3" fontId="4" fillId="0" borderId="10" xfId="0" applyNumberFormat="1" applyFont="1" applyBorder="1" applyAlignment="1">
      <alignment horizontal="right"/>
    </xf>
    <xf numFmtId="3" fontId="4" fillId="24" borderId="0" xfId="0" applyNumberFormat="1" applyFont="1" applyFill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center"/>
    </xf>
    <xf numFmtId="3" fontId="4" fillId="24" borderId="0" xfId="0" applyNumberFormat="1" applyFont="1" applyFill="1" applyBorder="1" applyAlignment="1">
      <alignment horizontal="right"/>
    </xf>
    <xf numFmtId="3" fontId="6" fillId="24" borderId="0" xfId="81" applyNumberFormat="1" applyFont="1" applyFill="1" applyBorder="1" applyAlignment="1">
      <alignment horizontal="right"/>
      <protection/>
    </xf>
    <xf numFmtId="3" fontId="11" fillId="24" borderId="0" xfId="81" applyNumberFormat="1" applyFont="1" applyFill="1" applyBorder="1" applyAlignment="1">
      <alignment/>
      <protection/>
    </xf>
    <xf numFmtId="3" fontId="11" fillId="24" borderId="0" xfId="81" applyNumberFormat="1" applyFont="1" applyFill="1" applyBorder="1" applyAlignment="1">
      <alignment horizontal="right"/>
      <protection/>
    </xf>
    <xf numFmtId="3" fontId="4" fillId="24" borderId="0" xfId="0" applyNumberFormat="1" applyFont="1" applyFill="1" applyAlignment="1">
      <alignment/>
    </xf>
    <xf numFmtId="3" fontId="3" fillId="0" borderId="0" xfId="0" applyNumberFormat="1" applyFont="1" applyAlignment="1">
      <alignment wrapText="1"/>
    </xf>
    <xf numFmtId="3" fontId="3" fillId="0" borderId="0" xfId="0" applyNumberFormat="1" applyFont="1" applyAlignment="1">
      <alignment/>
    </xf>
    <xf numFmtId="3" fontId="6" fillId="24" borderId="10" xfId="81" applyNumberFormat="1" applyFont="1" applyFill="1" applyBorder="1" applyAlignment="1">
      <alignment horizontal="left"/>
      <protection/>
    </xf>
    <xf numFmtId="3" fontId="6" fillId="24" borderId="0" xfId="81" applyNumberFormat="1" applyFont="1" applyFill="1" applyAlignment="1">
      <alignment horizontal="left"/>
      <protection/>
    </xf>
    <xf numFmtId="3" fontId="6" fillId="24" borderId="0" xfId="0" applyNumberFormat="1" applyFont="1" applyFill="1" applyAlignment="1">
      <alignment/>
    </xf>
    <xf numFmtId="3" fontId="6" fillId="24" borderId="0" xfId="81" applyNumberFormat="1" applyFont="1" applyFill="1" applyAlignment="1">
      <alignment horizontal="center" vertical="center"/>
      <protection/>
    </xf>
    <xf numFmtId="3" fontId="4" fillId="0" borderId="0" xfId="0" applyNumberFormat="1" applyFont="1" applyBorder="1" applyAlignment="1">
      <alignment horizontal="right" wrapText="1"/>
    </xf>
    <xf numFmtId="3" fontId="4" fillId="0" borderId="12" xfId="0" applyNumberFormat="1" applyFont="1" applyFill="1" applyBorder="1" applyAlignment="1">
      <alignment horizontal="right" wrapText="1"/>
    </xf>
    <xf numFmtId="3" fontId="4" fillId="0" borderId="10" xfId="0" applyNumberFormat="1" applyFont="1" applyFill="1" applyBorder="1" applyAlignment="1">
      <alignment horizontal="right" wrapText="1"/>
    </xf>
    <xf numFmtId="185" fontId="6" fillId="0" borderId="11" xfId="0" applyNumberFormat="1" applyFont="1" applyFill="1" applyBorder="1" applyAlignment="1">
      <alignment/>
    </xf>
    <xf numFmtId="185" fontId="6" fillId="0" borderId="11" xfId="0" applyNumberFormat="1" applyFont="1" applyBorder="1" applyAlignment="1">
      <alignment/>
    </xf>
    <xf numFmtId="3" fontId="4" fillId="0" borderId="11" xfId="0" applyNumberFormat="1" applyFont="1" applyBorder="1" applyAlignment="1">
      <alignment horizontal="right" wrapText="1"/>
    </xf>
    <xf numFmtId="185" fontId="6" fillId="0" borderId="10" xfId="0" applyNumberFormat="1" applyFont="1" applyBorder="1" applyAlignment="1">
      <alignment/>
    </xf>
    <xf numFmtId="185" fontId="6" fillId="0" borderId="10" xfId="0" applyNumberFormat="1" applyFont="1" applyBorder="1" applyAlignment="1">
      <alignment horizontal="right"/>
    </xf>
    <xf numFmtId="49" fontId="6" fillId="0" borderId="10" xfId="0" applyNumberFormat="1" applyFont="1" applyFill="1" applyBorder="1" applyAlignment="1">
      <alignment horizontal="right"/>
    </xf>
    <xf numFmtId="49" fontId="4" fillId="24" borderId="10" xfId="0" applyNumberFormat="1" applyFont="1" applyFill="1" applyBorder="1" applyAlignment="1">
      <alignment/>
    </xf>
    <xf numFmtId="3" fontId="4" fillId="0" borderId="11" xfId="0" applyNumberFormat="1" applyFont="1" applyFill="1" applyBorder="1" applyAlignment="1">
      <alignment horizontal="right" wrapText="1"/>
    </xf>
    <xf numFmtId="3" fontId="4" fillId="0" borderId="0" xfId="0" applyNumberFormat="1" applyFont="1" applyFill="1" applyBorder="1" applyAlignment="1">
      <alignment horizontal="right"/>
    </xf>
    <xf numFmtId="185" fontId="6" fillId="0" borderId="10" xfId="0" applyNumberFormat="1" applyFont="1" applyFill="1" applyBorder="1" applyAlignment="1">
      <alignment/>
    </xf>
    <xf numFmtId="49" fontId="3" fillId="0" borderId="0" xfId="0" applyNumberFormat="1" applyFont="1" applyFill="1" applyAlignment="1">
      <alignment/>
    </xf>
    <xf numFmtId="49" fontId="6" fillId="0" borderId="11" xfId="0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/>
    </xf>
    <xf numFmtId="3" fontId="3" fillId="0" borderId="10" xfId="81" applyNumberFormat="1" applyFont="1" applyFill="1" applyBorder="1">
      <alignment/>
      <protection/>
    </xf>
    <xf numFmtId="0" fontId="6" fillId="0" borderId="0" xfId="0" applyFont="1" applyFill="1" applyAlignment="1">
      <alignment/>
    </xf>
    <xf numFmtId="3" fontId="3" fillId="0" borderId="0" xfId="0" applyNumberFormat="1" applyFont="1" applyBorder="1" applyAlignment="1">
      <alignment wrapText="1"/>
    </xf>
    <xf numFmtId="0" fontId="0" fillId="0" borderId="0" xfId="0" applyBorder="1" applyAlignment="1">
      <alignment/>
    </xf>
    <xf numFmtId="164" fontId="3" fillId="0" borderId="0" xfId="0" applyNumberFormat="1" applyFont="1" applyAlignment="1">
      <alignment/>
    </xf>
    <xf numFmtId="164" fontId="3" fillId="0" borderId="0" xfId="0" applyNumberFormat="1" applyFont="1" applyBorder="1" applyAlignment="1">
      <alignment/>
    </xf>
    <xf numFmtId="5" fontId="3" fillId="24" borderId="0" xfId="0" applyNumberFormat="1" applyFont="1" applyFill="1" applyAlignment="1" applyProtection="1">
      <alignment/>
      <protection/>
    </xf>
    <xf numFmtId="0" fontId="3" fillId="7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5" fontId="3" fillId="24" borderId="0" xfId="0" applyNumberFormat="1" applyFont="1" applyFill="1" applyBorder="1" applyAlignment="1">
      <alignment/>
    </xf>
    <xf numFmtId="1" fontId="3" fillId="24" borderId="0" xfId="0" applyNumberFormat="1" applyFont="1" applyFill="1" applyBorder="1" applyAlignment="1">
      <alignment/>
    </xf>
    <xf numFmtId="1" fontId="3" fillId="24" borderId="10" xfId="0" applyNumberFormat="1" applyFont="1" applyFill="1" applyBorder="1" applyAlignment="1">
      <alignment/>
    </xf>
    <xf numFmtId="5" fontId="6" fillId="24" borderId="0" xfId="0" applyNumberFormat="1" applyFont="1" applyFill="1" applyAlignment="1">
      <alignment/>
    </xf>
    <xf numFmtId="5" fontId="6" fillId="24" borderId="0" xfId="0" applyNumberFormat="1" applyFont="1" applyFill="1" applyAlignment="1">
      <alignment horizontal="right"/>
    </xf>
    <xf numFmtId="0" fontId="3" fillId="0" borderId="0" xfId="0" applyFont="1" applyFill="1" applyBorder="1" applyAlignment="1">
      <alignment/>
    </xf>
    <xf numFmtId="3" fontId="4" fillId="0" borderId="11" xfId="0" applyNumberFormat="1" applyFont="1" applyBorder="1" applyAlignment="1">
      <alignment horizontal="right"/>
    </xf>
    <xf numFmtId="186" fontId="3" fillId="24" borderId="0" xfId="0" applyNumberFormat="1" applyFont="1" applyFill="1" applyBorder="1" applyAlignment="1">
      <alignment horizontal="right" wrapText="1"/>
    </xf>
    <xf numFmtId="0" fontId="0" fillId="0" borderId="0" xfId="0" applyBorder="1" applyAlignment="1">
      <alignment wrapText="1"/>
    </xf>
    <xf numFmtId="185" fontId="6" fillId="24" borderId="10" xfId="81" applyNumberFormat="1" applyFont="1" applyFill="1" applyBorder="1" applyAlignment="1">
      <alignment horizontal="right"/>
      <protection/>
    </xf>
    <xf numFmtId="185" fontId="0" fillId="0" borderId="0" xfId="0" applyNumberFormat="1" applyBorder="1" applyAlignment="1">
      <alignment wrapText="1"/>
    </xf>
    <xf numFmtId="185" fontId="6" fillId="24" borderId="0" xfId="81" applyNumberFormat="1" applyFont="1" applyFill="1" applyBorder="1" applyAlignment="1">
      <alignment horizontal="right"/>
      <protection/>
    </xf>
    <xf numFmtId="0" fontId="4" fillId="0" borderId="0" xfId="0" applyFont="1" applyBorder="1" applyAlignment="1">
      <alignment wrapText="1"/>
    </xf>
    <xf numFmtId="185" fontId="6" fillId="0" borderId="0" xfId="0" applyNumberFormat="1" applyFont="1" applyBorder="1" applyAlignment="1">
      <alignment wrapText="1"/>
    </xf>
    <xf numFmtId="185" fontId="6" fillId="0" borderId="10" xfId="0" applyNumberFormat="1" applyFont="1" applyBorder="1" applyAlignment="1">
      <alignment wrapText="1"/>
    </xf>
    <xf numFmtId="0" fontId="4" fillId="0" borderId="0" xfId="0" applyFont="1" applyBorder="1" applyAlignment="1">
      <alignment horizontal="right" wrapText="1"/>
    </xf>
    <xf numFmtId="164" fontId="4" fillId="0" borderId="11" xfId="0" applyNumberFormat="1" applyFont="1" applyBorder="1" applyAlignment="1">
      <alignment horizontal="right" wrapText="1"/>
    </xf>
    <xf numFmtId="3" fontId="4" fillId="0" borderId="0" xfId="0" applyNumberFormat="1" applyFont="1" applyBorder="1" applyAlignment="1">
      <alignment wrapText="1"/>
    </xf>
    <xf numFmtId="3" fontId="4" fillId="0" borderId="10" xfId="0" applyNumberFormat="1" applyFont="1" applyBorder="1" applyAlignment="1">
      <alignment horizontal="center" wrapText="1"/>
    </xf>
    <xf numFmtId="3" fontId="4" fillId="0" borderId="0" xfId="0" applyNumberFormat="1" applyFont="1" applyBorder="1" applyAlignment="1">
      <alignment horizontal="center" wrapText="1"/>
    </xf>
    <xf numFmtId="185" fontId="6" fillId="0" borderId="0" xfId="0" applyNumberFormat="1" applyFont="1" applyBorder="1" applyAlignment="1">
      <alignment/>
    </xf>
    <xf numFmtId="185" fontId="6" fillId="0" borderId="10" xfId="81" applyNumberFormat="1" applyFont="1" applyFill="1" applyBorder="1" applyAlignment="1">
      <alignment horizontal="right"/>
      <protection/>
    </xf>
    <xf numFmtId="3" fontId="4" fillId="0" borderId="10" xfId="0" applyNumberFormat="1" applyFont="1" applyBorder="1" applyAlignment="1">
      <alignment horizontal="right" wrapText="1"/>
    </xf>
    <xf numFmtId="164" fontId="3" fillId="24" borderId="0" xfId="0" applyNumberFormat="1" applyFont="1" applyFill="1" applyAlignment="1">
      <alignment horizontal="right" vertical="top" wrapText="1"/>
    </xf>
    <xf numFmtId="3" fontId="4" fillId="0" borderId="10" xfId="0" applyNumberFormat="1" applyFont="1" applyBorder="1" applyAlignment="1">
      <alignment horizontal="center"/>
    </xf>
    <xf numFmtId="185" fontId="4" fillId="0" borderId="11" xfId="0" applyNumberFormat="1" applyFont="1" applyFill="1" applyBorder="1" applyAlignment="1">
      <alignment horizontal="right"/>
    </xf>
    <xf numFmtId="185" fontId="4" fillId="0" borderId="10" xfId="0" applyNumberFormat="1" applyFont="1" applyFill="1" applyBorder="1" applyAlignment="1">
      <alignment horizontal="right"/>
    </xf>
    <xf numFmtId="3" fontId="3" fillId="0" borderId="10" xfId="81" applyNumberFormat="1" applyFont="1" applyFill="1" applyBorder="1" applyAlignment="1">
      <alignment horizontal="right"/>
      <protection/>
    </xf>
    <xf numFmtId="3" fontId="3" fillId="0" borderId="10" xfId="0" applyNumberFormat="1" applyFont="1" applyFill="1" applyBorder="1" applyAlignment="1">
      <alignment horizontal="right"/>
    </xf>
    <xf numFmtId="3" fontId="6" fillId="0" borderId="0" xfId="81" applyNumberFormat="1" applyFont="1" applyFill="1" applyAlignment="1">
      <alignment horizontal="right"/>
      <protection/>
    </xf>
    <xf numFmtId="164" fontId="3" fillId="0" borderId="0" xfId="81" applyNumberFormat="1" applyFont="1" applyFill="1" applyAlignment="1">
      <alignment horizontal="right"/>
      <protection/>
    </xf>
    <xf numFmtId="0" fontId="8" fillId="24" borderId="0" xfId="72" applyFill="1" applyBorder="1" applyAlignment="1" applyProtection="1">
      <alignment vertical="top" wrapText="1"/>
      <protection/>
    </xf>
    <xf numFmtId="0" fontId="8" fillId="24" borderId="0" xfId="72" applyFill="1" applyAlignment="1" applyProtection="1">
      <alignment horizontal="left" vertical="top" wrapText="1"/>
      <protection/>
    </xf>
    <xf numFmtId="0" fontId="8" fillId="7" borderId="0" xfId="72" applyFill="1" applyAlignment="1" applyProtection="1">
      <alignment horizontal="left" vertical="top" wrapText="1"/>
      <protection/>
    </xf>
    <xf numFmtId="0" fontId="3" fillId="24" borderId="0" xfId="0" applyFont="1" applyFill="1" applyBorder="1" applyAlignment="1">
      <alignment vertical="top" wrapText="1"/>
    </xf>
    <xf numFmtId="164" fontId="3" fillId="7" borderId="0" xfId="0" applyNumberFormat="1" applyFont="1" applyFill="1" applyBorder="1" applyAlignment="1">
      <alignment vertical="top" wrapText="1"/>
    </xf>
    <xf numFmtId="164" fontId="8" fillId="24" borderId="0" xfId="72" applyNumberFormat="1" applyFill="1" applyBorder="1" applyAlignment="1" applyProtection="1">
      <alignment vertical="top" wrapText="1"/>
      <protection/>
    </xf>
    <xf numFmtId="0" fontId="3" fillId="24" borderId="0" xfId="0" applyFont="1" applyFill="1" applyBorder="1" applyAlignment="1">
      <alignment horizontal="right" vertical="top" wrapText="1"/>
    </xf>
    <xf numFmtId="3" fontId="6" fillId="7" borderId="0" xfId="0" applyNumberFormat="1" applyFont="1" applyFill="1" applyAlignment="1">
      <alignment vertical="top" wrapText="1"/>
    </xf>
    <xf numFmtId="0" fontId="3" fillId="24" borderId="0" xfId="0" applyFont="1" applyFill="1" applyAlignment="1">
      <alignment vertical="top" wrapText="1"/>
    </xf>
    <xf numFmtId="0" fontId="8" fillId="24" borderId="0" xfId="72" applyFill="1" applyAlignment="1" applyProtection="1">
      <alignment vertical="top" wrapText="1"/>
      <protection/>
    </xf>
    <xf numFmtId="0" fontId="8" fillId="24" borderId="0" xfId="72" applyFill="1" applyBorder="1" applyAlignment="1" applyProtection="1">
      <alignment horizontal="right" vertical="top" wrapText="1"/>
      <protection/>
    </xf>
    <xf numFmtId="0" fontId="8" fillId="0" borderId="0" xfId="72" applyFill="1" applyAlignment="1" applyProtection="1">
      <alignment vertical="top" wrapText="1"/>
      <protection/>
    </xf>
    <xf numFmtId="0" fontId="3" fillId="7" borderId="0" xfId="0" applyFont="1" applyFill="1" applyBorder="1" applyAlignment="1">
      <alignment vertical="top" wrapText="1"/>
    </xf>
    <xf numFmtId="3" fontId="3" fillId="24" borderId="0" xfId="0" applyNumberFormat="1" applyFont="1" applyFill="1" applyBorder="1" applyAlignment="1">
      <alignment vertical="top" wrapText="1"/>
    </xf>
    <xf numFmtId="0" fontId="6" fillId="7" borderId="0" xfId="0" applyFont="1" applyFill="1" applyAlignment="1">
      <alignment vertical="top" wrapText="1"/>
    </xf>
    <xf numFmtId="0" fontId="3" fillId="7" borderId="0" xfId="0" applyFont="1" applyFill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8" fillId="7" borderId="0" xfId="72" applyFill="1" applyBorder="1" applyAlignment="1" applyProtection="1">
      <alignment vertical="top" wrapText="1"/>
      <protection/>
    </xf>
    <xf numFmtId="164" fontId="3" fillId="24" borderId="0" xfId="0" applyNumberFormat="1" applyFont="1" applyFill="1" applyBorder="1" applyAlignment="1">
      <alignment vertical="top" wrapText="1"/>
    </xf>
    <xf numFmtId="0" fontId="6" fillId="24" borderId="0" xfId="0" applyFont="1" applyFill="1" applyBorder="1" applyAlignment="1">
      <alignment vertical="top" wrapText="1"/>
    </xf>
    <xf numFmtId="164" fontId="6" fillId="24" borderId="0" xfId="0" applyNumberFormat="1" applyFont="1" applyFill="1" applyBorder="1" applyAlignment="1">
      <alignment vertical="top" wrapText="1"/>
    </xf>
    <xf numFmtId="0" fontId="8" fillId="7" borderId="0" xfId="72" applyFill="1" applyAlignment="1" applyProtection="1">
      <alignment vertical="top" wrapText="1"/>
      <protection/>
    </xf>
    <xf numFmtId="0" fontId="8" fillId="0" borderId="0" xfId="72" applyFill="1" applyAlignment="1" applyProtection="1">
      <alignment horizontal="left" vertical="top" wrapText="1"/>
      <protection/>
    </xf>
    <xf numFmtId="3" fontId="8" fillId="24" borderId="0" xfId="72" applyNumberFormat="1" applyFill="1" applyBorder="1" applyAlignment="1" applyProtection="1">
      <alignment vertical="top" wrapText="1"/>
      <protection/>
    </xf>
    <xf numFmtId="164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 wrapText="1"/>
    </xf>
    <xf numFmtId="49" fontId="4" fillId="0" borderId="10" xfId="0" applyNumberFormat="1" applyFont="1" applyFill="1" applyBorder="1" applyAlignment="1">
      <alignment horizontal="right"/>
    </xf>
    <xf numFmtId="3" fontId="11" fillId="0" borderId="0" xfId="81" applyNumberFormat="1" applyFont="1" applyFill="1" applyBorder="1" applyAlignment="1">
      <alignment/>
      <protection/>
    </xf>
    <xf numFmtId="0" fontId="0" fillId="0" borderId="0" xfId="0" applyFill="1" applyBorder="1" applyAlignment="1">
      <alignment wrapText="1"/>
    </xf>
    <xf numFmtId="0" fontId="6" fillId="0" borderId="10" xfId="0" applyFont="1" applyFill="1" applyBorder="1" applyAlignment="1">
      <alignment horizontal="right"/>
    </xf>
    <xf numFmtId="0" fontId="8" fillId="0" borderId="0" xfId="72" applyFill="1" applyBorder="1" applyAlignment="1" applyProtection="1">
      <alignment vertical="top" wrapText="1"/>
      <protection/>
    </xf>
    <xf numFmtId="49" fontId="4" fillId="24" borderId="10" xfId="81" applyNumberFormat="1" applyFont="1" applyFill="1" applyBorder="1" applyAlignment="1">
      <alignment horizontal="center"/>
      <protection/>
    </xf>
    <xf numFmtId="3" fontId="8" fillId="24" borderId="0" xfId="72" applyNumberFormat="1" applyFill="1" applyBorder="1" applyAlignment="1" applyProtection="1">
      <alignment wrapText="1"/>
      <protection/>
    </xf>
    <xf numFmtId="3" fontId="8" fillId="0" borderId="0" xfId="72" applyNumberFormat="1" applyBorder="1" applyAlignment="1" applyProtection="1">
      <alignment vertical="top" wrapText="1"/>
      <protection/>
    </xf>
    <xf numFmtId="0" fontId="3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8" fillId="0" borderId="0" xfId="72" applyAlignment="1" applyProtection="1">
      <alignment vertical="top" wrapText="1"/>
      <protection/>
    </xf>
    <xf numFmtId="0" fontId="3" fillId="0" borderId="0" xfId="0" applyFont="1" applyFill="1" applyBorder="1" applyAlignment="1">
      <alignment vertical="top" wrapText="1"/>
    </xf>
    <xf numFmtId="3" fontId="3" fillId="0" borderId="0" xfId="0" applyNumberFormat="1" applyFont="1" applyBorder="1" applyAlignment="1">
      <alignment vertical="top" wrapText="1"/>
    </xf>
    <xf numFmtId="3" fontId="3" fillId="0" borderId="0" xfId="0" applyNumberFormat="1" applyFont="1" applyBorder="1" applyAlignment="1">
      <alignment horizontal="right" vertical="top" wrapText="1"/>
    </xf>
    <xf numFmtId="3" fontId="3" fillId="0" borderId="0" xfId="0" applyNumberFormat="1" applyFont="1" applyFill="1" applyBorder="1" applyAlignment="1">
      <alignment vertical="top" wrapText="1"/>
    </xf>
    <xf numFmtId="0" fontId="3" fillId="25" borderId="12" xfId="0" applyFont="1" applyFill="1" applyBorder="1" applyAlignment="1">
      <alignment vertical="top" wrapText="1"/>
    </xf>
    <xf numFmtId="0" fontId="3" fillId="25" borderId="0" xfId="0" applyFont="1" applyFill="1" applyBorder="1" applyAlignment="1">
      <alignment vertical="top" wrapText="1"/>
    </xf>
    <xf numFmtId="0" fontId="12" fillId="25" borderId="0" xfId="72" applyFont="1" applyFill="1" applyBorder="1" applyAlignment="1" applyProtection="1">
      <alignment vertical="top" wrapText="1"/>
      <protection/>
    </xf>
    <xf numFmtId="0" fontId="3" fillId="25" borderId="10" xfId="0" applyFont="1" applyFill="1" applyBorder="1" applyAlignment="1">
      <alignment vertical="top" wrapText="1"/>
    </xf>
    <xf numFmtId="0" fontId="3" fillId="25" borderId="0" xfId="0" applyFont="1" applyFill="1" applyAlignment="1">
      <alignment vertical="top" wrapText="1"/>
    </xf>
    <xf numFmtId="0" fontId="4" fillId="25" borderId="0" xfId="0" applyFont="1" applyFill="1" applyAlignment="1">
      <alignment vertical="top" wrapText="1"/>
    </xf>
    <xf numFmtId="0" fontId="12" fillId="25" borderId="0" xfId="72" applyFont="1" applyFill="1" applyAlignment="1" applyProtection="1">
      <alignment vertical="top" wrapText="1"/>
      <protection/>
    </xf>
    <xf numFmtId="0" fontId="3" fillId="25" borderId="12" xfId="0" applyFont="1" applyFill="1" applyBorder="1" applyAlignment="1">
      <alignment wrapText="1"/>
    </xf>
    <xf numFmtId="0" fontId="3" fillId="25" borderId="12" xfId="72" applyFont="1" applyFill="1" applyBorder="1" applyAlignment="1" applyProtection="1">
      <alignment vertical="top" wrapText="1"/>
      <protection/>
    </xf>
    <xf numFmtId="0" fontId="8" fillId="25" borderId="0" xfId="72" applyFill="1" applyBorder="1" applyAlignment="1" applyProtection="1">
      <alignment vertical="top" wrapText="1"/>
      <protection/>
    </xf>
    <xf numFmtId="0" fontId="1" fillId="25" borderId="0" xfId="0" applyFont="1" applyFill="1" applyAlignment="1">
      <alignment vertical="top"/>
    </xf>
    <xf numFmtId="3" fontId="1" fillId="0" borderId="0" xfId="81" applyNumberFormat="1" applyFont="1" applyFill="1" applyBorder="1" applyAlignment="1">
      <alignment/>
      <protection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49" fontId="4" fillId="0" borderId="0" xfId="0" applyNumberFormat="1" applyFont="1" applyFill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0" fontId="3" fillId="0" borderId="0" xfId="0" applyFont="1" applyAlignment="1">
      <alignment vertical="top"/>
    </xf>
    <xf numFmtId="175" fontId="6" fillId="0" borderId="10" xfId="0" applyNumberFormat="1" applyFont="1" applyFill="1" applyBorder="1" applyAlignment="1">
      <alignment horizontal="right"/>
    </xf>
    <xf numFmtId="3" fontId="6" fillId="0" borderId="11" xfId="0" applyNumberFormat="1" applyFont="1" applyBorder="1" applyAlignment="1">
      <alignment/>
    </xf>
    <xf numFmtId="3" fontId="3" fillId="24" borderId="12" xfId="0" applyNumberFormat="1" applyFont="1" applyFill="1" applyBorder="1" applyAlignment="1">
      <alignment horizontal="right"/>
    </xf>
    <xf numFmtId="164" fontId="6" fillId="0" borderId="0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164" fontId="3" fillId="24" borderId="12" xfId="0" applyNumberFormat="1" applyFont="1" applyFill="1" applyBorder="1" applyAlignment="1">
      <alignment horizontal="right"/>
    </xf>
    <xf numFmtId="3" fontId="6" fillId="0" borderId="0" xfId="0" applyNumberFormat="1" applyFont="1" applyFill="1" applyAlignment="1">
      <alignment vertical="top" wrapText="1"/>
    </xf>
    <xf numFmtId="0" fontId="6" fillId="0" borderId="0" xfId="0" applyFont="1" applyFill="1" applyAlignment="1">
      <alignment horizontal="left" vertical="top" wrapText="1"/>
    </xf>
    <xf numFmtId="164" fontId="6" fillId="0" borderId="0" xfId="0" applyNumberFormat="1" applyFont="1" applyFill="1" applyAlignment="1">
      <alignment vertical="top" wrapText="1"/>
    </xf>
    <xf numFmtId="164" fontId="6" fillId="0" borderId="0" xfId="0" applyNumberFormat="1" applyFont="1" applyFill="1" applyAlignment="1">
      <alignment/>
    </xf>
    <xf numFmtId="164" fontId="6" fillId="0" borderId="0" xfId="0" applyNumberFormat="1" applyFont="1" applyFill="1" applyBorder="1" applyAlignment="1">
      <alignment/>
    </xf>
    <xf numFmtId="0" fontId="6" fillId="0" borderId="0" xfId="0" applyFont="1" applyFill="1" applyAlignment="1">
      <alignment vertical="top" wrapText="1"/>
    </xf>
    <xf numFmtId="0" fontId="6" fillId="0" borderId="11" xfId="0" applyNumberFormat="1" applyFont="1" applyBorder="1" applyAlignment="1">
      <alignment/>
    </xf>
    <xf numFmtId="49" fontId="4" fillId="0" borderId="0" xfId="81" applyNumberFormat="1" applyFont="1" applyFill="1" applyBorder="1" applyAlignment="1">
      <alignment horizontal="right" wrapText="1"/>
      <protection/>
    </xf>
    <xf numFmtId="49" fontId="4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3" fontId="3" fillId="0" borderId="0" xfId="81" applyNumberFormat="1" applyFont="1" applyFill="1" applyBorder="1" applyAlignment="1">
      <alignment horizontal="right"/>
      <protection/>
    </xf>
    <xf numFmtId="0" fontId="6" fillId="0" borderId="11" xfId="0" applyFont="1" applyFill="1" applyBorder="1" applyAlignment="1">
      <alignment horizontal="right"/>
    </xf>
    <xf numFmtId="49" fontId="4" fillId="0" borderId="10" xfId="81" applyNumberFormat="1" applyFont="1" applyFill="1" applyBorder="1" applyAlignment="1">
      <alignment horizontal="right" wrapText="1"/>
      <protection/>
    </xf>
    <xf numFmtId="175" fontId="6" fillId="0" borderId="0" xfId="0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 wrapText="1"/>
    </xf>
    <xf numFmtId="0" fontId="6" fillId="0" borderId="0" xfId="0" applyFont="1" applyFill="1" applyBorder="1" applyAlignment="1">
      <alignment/>
    </xf>
    <xf numFmtId="49" fontId="4" fillId="0" borderId="12" xfId="81" applyNumberFormat="1" applyFont="1" applyFill="1" applyBorder="1" applyAlignment="1">
      <alignment horizontal="right" wrapText="1"/>
      <protection/>
    </xf>
    <xf numFmtId="3" fontId="8" fillId="0" borderId="0" xfId="72" applyNumberFormat="1" applyFill="1" applyBorder="1" applyAlignment="1" applyProtection="1">
      <alignment vertical="top" wrapText="1"/>
      <protection/>
    </xf>
    <xf numFmtId="3" fontId="3" fillId="24" borderId="0" xfId="0" applyNumberFormat="1" applyFont="1" applyFill="1" applyAlignment="1">
      <alignment horizontal="right" vertical="top" wrapText="1"/>
    </xf>
    <xf numFmtId="0" fontId="6" fillId="0" borderId="0" xfId="0" applyFont="1" applyAlignment="1">
      <alignment vertical="top" wrapText="1"/>
    </xf>
    <xf numFmtId="49" fontId="6" fillId="24" borderId="11" xfId="0" applyNumberFormat="1" applyFont="1" applyFill="1" applyBorder="1" applyAlignment="1">
      <alignment horizontal="center"/>
    </xf>
    <xf numFmtId="49" fontId="4" fillId="24" borderId="10" xfId="81" applyNumberFormat="1" applyFont="1" applyFill="1" applyBorder="1" applyAlignment="1">
      <alignment horizontal="center"/>
      <protection/>
    </xf>
    <xf numFmtId="49" fontId="4" fillId="24" borderId="1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right" wrapText="1"/>
    </xf>
    <xf numFmtId="49" fontId="4" fillId="0" borderId="10" xfId="0" applyNumberFormat="1" applyFont="1" applyFill="1" applyBorder="1" applyAlignment="1">
      <alignment horizontal="right" wrapText="1"/>
    </xf>
    <xf numFmtId="49" fontId="4" fillId="7" borderId="10" xfId="0" applyNumberFormat="1" applyFont="1" applyFill="1" applyBorder="1" applyAlignment="1">
      <alignment horizontal="center"/>
    </xf>
    <xf numFmtId="49" fontId="4" fillId="24" borderId="0" xfId="0" applyNumberFormat="1" applyFont="1" applyFill="1" applyBorder="1" applyAlignment="1">
      <alignment horizontal="right" wrapText="1"/>
    </xf>
    <xf numFmtId="49" fontId="4" fillId="24" borderId="10" xfId="0" applyNumberFormat="1" applyFont="1" applyFill="1" applyBorder="1" applyAlignment="1">
      <alignment horizontal="right" wrapText="1"/>
    </xf>
    <xf numFmtId="3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3" fontId="4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3" fontId="4" fillId="0" borderId="12" xfId="0" applyNumberFormat="1" applyFont="1" applyFill="1" applyBorder="1" applyAlignment="1">
      <alignment horizontal="right" wrapText="1"/>
    </xf>
    <xf numFmtId="3" fontId="4" fillId="0" borderId="10" xfId="0" applyNumberFormat="1" applyFont="1" applyFill="1" applyBorder="1" applyAlignment="1">
      <alignment horizontal="right" wrapText="1"/>
    </xf>
    <xf numFmtId="3" fontId="4" fillId="0" borderId="12" xfId="0" applyNumberFormat="1" applyFont="1" applyBorder="1" applyAlignment="1">
      <alignment horizontal="right" wrapText="1"/>
    </xf>
    <xf numFmtId="3" fontId="4" fillId="0" borderId="10" xfId="0" applyNumberFormat="1" applyFont="1" applyBorder="1" applyAlignment="1">
      <alignment horizontal="right" wrapText="1"/>
    </xf>
    <xf numFmtId="3" fontId="4" fillId="0" borderId="0" xfId="0" applyNumberFormat="1" applyFont="1" applyBorder="1" applyAlignment="1">
      <alignment horizontal="right" wrapText="1"/>
    </xf>
    <xf numFmtId="3" fontId="4" fillId="0" borderId="0" xfId="0" applyNumberFormat="1" applyFont="1" applyBorder="1" applyAlignment="1">
      <alignment horizontal="center" wrapText="1"/>
    </xf>
    <xf numFmtId="3" fontId="4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6" fillId="25" borderId="12" xfId="0" applyFont="1" applyFill="1" applyBorder="1" applyAlignment="1">
      <alignment vertical="top" wrapText="1"/>
    </xf>
    <xf numFmtId="0" fontId="8" fillId="25" borderId="13" xfId="72" applyFill="1" applyBorder="1" applyAlignment="1">
      <alignment vertical="top" wrapText="1"/>
    </xf>
    <xf numFmtId="0" fontId="6" fillId="25" borderId="14" xfId="0" applyFont="1" applyFill="1" applyBorder="1" applyAlignment="1">
      <alignment vertical="top" wrapText="1"/>
    </xf>
    <xf numFmtId="0" fontId="6" fillId="25" borderId="0" xfId="0" applyFont="1" applyFill="1" applyAlignment="1">
      <alignment vertical="top" wrapText="1"/>
    </xf>
    <xf numFmtId="0" fontId="6" fillId="25" borderId="0" xfId="0" applyFont="1" applyFill="1" applyBorder="1" applyAlignment="1">
      <alignment vertical="top" wrapText="1"/>
    </xf>
    <xf numFmtId="0" fontId="6" fillId="25" borderId="10" xfId="0" applyFont="1" applyFill="1" applyBorder="1" applyAlignment="1">
      <alignment vertical="top" wrapText="1"/>
    </xf>
  </cellXfs>
  <cellStyles count="7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2" xfId="45"/>
    <cellStyle name="Comma 3" xfId="46"/>
    <cellStyle name="Comma 3 2" xfId="47"/>
    <cellStyle name="Comma 3 3" xfId="48"/>
    <cellStyle name="Comma 3 4" xfId="49"/>
    <cellStyle name="Comma 3 5" xfId="50"/>
    <cellStyle name="Comma 3 6" xfId="51"/>
    <cellStyle name="Comma 4" xfId="52"/>
    <cellStyle name="Comma 5" xfId="53"/>
    <cellStyle name="Comma 6" xfId="54"/>
    <cellStyle name="Comma 7" xfId="55"/>
    <cellStyle name="Comma 8" xfId="56"/>
    <cellStyle name="Comma 9" xfId="57"/>
    <cellStyle name="Currency" xfId="58"/>
    <cellStyle name="Currency [0]" xfId="59"/>
    <cellStyle name="Currency 2" xfId="60"/>
    <cellStyle name="Currency 3" xfId="61"/>
    <cellStyle name="Currency 4" xfId="62"/>
    <cellStyle name="Currency 5" xfId="63"/>
    <cellStyle name="Currency 6" xfId="64"/>
    <cellStyle name="Explanatory Text" xfId="65"/>
    <cellStyle name="Followed Hyperlink" xfId="66"/>
    <cellStyle name="Good" xfId="67"/>
    <cellStyle name="Heading 1" xfId="68"/>
    <cellStyle name="Heading 2" xfId="69"/>
    <cellStyle name="Heading 3" xfId="70"/>
    <cellStyle name="Heading 4" xfId="71"/>
    <cellStyle name="Hyperlink" xfId="72"/>
    <cellStyle name="Hyperlink 2" xfId="73"/>
    <cellStyle name="Input" xfId="74"/>
    <cellStyle name="Linked Cell" xfId="75"/>
    <cellStyle name="Neutral" xfId="76"/>
    <cellStyle name="Normal 2" xfId="77"/>
    <cellStyle name="Normal 3" xfId="78"/>
    <cellStyle name="Normal 4" xfId="79"/>
    <cellStyle name="Normal 5" xfId="80"/>
    <cellStyle name="Normal_final 03 sean" xfId="81"/>
    <cellStyle name="Note" xfId="82"/>
    <cellStyle name="Output" xfId="83"/>
    <cellStyle name="Percent" xfId="84"/>
    <cellStyle name="Percent 2" xfId="85"/>
    <cellStyle name="Percent 3" xfId="86"/>
    <cellStyle name="Title" xfId="87"/>
    <cellStyle name="Total" xfId="88"/>
    <cellStyle name="Warning Text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44</xdr:row>
      <xdr:rowOff>0</xdr:rowOff>
    </xdr:from>
    <xdr:to>
      <xdr:col>8</xdr:col>
      <xdr:colOff>9525</xdr:colOff>
      <xdr:row>65</xdr:row>
      <xdr:rowOff>95250</xdr:rowOff>
    </xdr:to>
    <xdr:pic>
      <xdr:nvPicPr>
        <xdr:cNvPr id="1" name="Picture 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3225" y="1695450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45</xdr:row>
      <xdr:rowOff>0</xdr:rowOff>
    </xdr:from>
    <xdr:to>
      <xdr:col>8</xdr:col>
      <xdr:colOff>9525</xdr:colOff>
      <xdr:row>65</xdr:row>
      <xdr:rowOff>123825</xdr:rowOff>
    </xdr:to>
    <xdr:pic>
      <xdr:nvPicPr>
        <xdr:cNvPr id="2" name="Picture 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3225" y="1695450"/>
          <a:ext cx="95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9525</xdr:colOff>
      <xdr:row>65</xdr:row>
      <xdr:rowOff>104775</xdr:rowOff>
    </xdr:to>
    <xdr:pic>
      <xdr:nvPicPr>
        <xdr:cNvPr id="3" name="Picture 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35100" y="16954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9525</xdr:colOff>
      <xdr:row>65</xdr:row>
      <xdr:rowOff>104775</xdr:rowOff>
    </xdr:to>
    <xdr:pic>
      <xdr:nvPicPr>
        <xdr:cNvPr id="4" name="Picture 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35100" y="16954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28575</xdr:colOff>
      <xdr:row>65</xdr:row>
      <xdr:rowOff>28575</xdr:rowOff>
    </xdr:to>
    <xdr:pic>
      <xdr:nvPicPr>
        <xdr:cNvPr id="5" name="Picture 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35100" y="1695450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35</xdr:row>
      <xdr:rowOff>0</xdr:rowOff>
    </xdr:from>
    <xdr:to>
      <xdr:col>23</xdr:col>
      <xdr:colOff>9525</xdr:colOff>
      <xdr:row>65</xdr:row>
      <xdr:rowOff>9525</xdr:rowOff>
    </xdr:to>
    <xdr:pic>
      <xdr:nvPicPr>
        <xdr:cNvPr id="6" name="Picture 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9950" y="1695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38</xdr:row>
      <xdr:rowOff>0</xdr:rowOff>
    </xdr:from>
    <xdr:to>
      <xdr:col>23</xdr:col>
      <xdr:colOff>38100</xdr:colOff>
      <xdr:row>65</xdr:row>
      <xdr:rowOff>66675</xdr:rowOff>
    </xdr:to>
    <xdr:pic>
      <xdr:nvPicPr>
        <xdr:cNvPr id="7" name="Picture 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9950" y="1695450"/>
          <a:ext cx="3810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38100</xdr:colOff>
      <xdr:row>65</xdr:row>
      <xdr:rowOff>66675</xdr:rowOff>
    </xdr:to>
    <xdr:pic>
      <xdr:nvPicPr>
        <xdr:cNvPr id="8" name="Picture 1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9950" y="1695450"/>
          <a:ext cx="3810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42</xdr:row>
      <xdr:rowOff>0</xdr:rowOff>
    </xdr:from>
    <xdr:to>
      <xdr:col>23</xdr:col>
      <xdr:colOff>38100</xdr:colOff>
      <xdr:row>65</xdr:row>
      <xdr:rowOff>66675</xdr:rowOff>
    </xdr:to>
    <xdr:pic>
      <xdr:nvPicPr>
        <xdr:cNvPr id="9" name="Picture 1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9950" y="1695450"/>
          <a:ext cx="3810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44</xdr:row>
      <xdr:rowOff>0</xdr:rowOff>
    </xdr:from>
    <xdr:to>
      <xdr:col>23</xdr:col>
      <xdr:colOff>38100</xdr:colOff>
      <xdr:row>65</xdr:row>
      <xdr:rowOff>66675</xdr:rowOff>
    </xdr:to>
    <xdr:pic>
      <xdr:nvPicPr>
        <xdr:cNvPr id="10" name="Picture 1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9950" y="1695450"/>
          <a:ext cx="3810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46</xdr:row>
      <xdr:rowOff>0</xdr:rowOff>
    </xdr:from>
    <xdr:to>
      <xdr:col>23</xdr:col>
      <xdr:colOff>38100</xdr:colOff>
      <xdr:row>65</xdr:row>
      <xdr:rowOff>66675</xdr:rowOff>
    </xdr:to>
    <xdr:pic>
      <xdr:nvPicPr>
        <xdr:cNvPr id="11" name="Picture 1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9950" y="1695450"/>
          <a:ext cx="3810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48</xdr:row>
      <xdr:rowOff>0</xdr:rowOff>
    </xdr:from>
    <xdr:to>
      <xdr:col>23</xdr:col>
      <xdr:colOff>38100</xdr:colOff>
      <xdr:row>65</xdr:row>
      <xdr:rowOff>66675</xdr:rowOff>
    </xdr:to>
    <xdr:pic>
      <xdr:nvPicPr>
        <xdr:cNvPr id="12" name="Picture 1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9950" y="1695450"/>
          <a:ext cx="3810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50</xdr:row>
      <xdr:rowOff>0</xdr:rowOff>
    </xdr:from>
    <xdr:to>
      <xdr:col>23</xdr:col>
      <xdr:colOff>38100</xdr:colOff>
      <xdr:row>65</xdr:row>
      <xdr:rowOff>66675</xdr:rowOff>
    </xdr:to>
    <xdr:pic>
      <xdr:nvPicPr>
        <xdr:cNvPr id="13" name="Picture 2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9950" y="1695450"/>
          <a:ext cx="3810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54</xdr:row>
      <xdr:rowOff>0</xdr:rowOff>
    </xdr:from>
    <xdr:to>
      <xdr:col>23</xdr:col>
      <xdr:colOff>38100</xdr:colOff>
      <xdr:row>65</xdr:row>
      <xdr:rowOff>66675</xdr:rowOff>
    </xdr:to>
    <xdr:pic>
      <xdr:nvPicPr>
        <xdr:cNvPr id="14" name="Picture 2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9950" y="1695450"/>
          <a:ext cx="3810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56</xdr:row>
      <xdr:rowOff>0</xdr:rowOff>
    </xdr:from>
    <xdr:to>
      <xdr:col>23</xdr:col>
      <xdr:colOff>38100</xdr:colOff>
      <xdr:row>65</xdr:row>
      <xdr:rowOff>66675</xdr:rowOff>
    </xdr:to>
    <xdr:pic>
      <xdr:nvPicPr>
        <xdr:cNvPr id="15" name="Picture 2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9950" y="1695450"/>
          <a:ext cx="3810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60</xdr:row>
      <xdr:rowOff>0</xdr:rowOff>
    </xdr:from>
    <xdr:to>
      <xdr:col>23</xdr:col>
      <xdr:colOff>38100</xdr:colOff>
      <xdr:row>65</xdr:row>
      <xdr:rowOff>66675</xdr:rowOff>
    </xdr:to>
    <xdr:pic>
      <xdr:nvPicPr>
        <xdr:cNvPr id="16" name="Picture 2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9950" y="1695450"/>
          <a:ext cx="3810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62</xdr:row>
      <xdr:rowOff>0</xdr:rowOff>
    </xdr:from>
    <xdr:to>
      <xdr:col>23</xdr:col>
      <xdr:colOff>38100</xdr:colOff>
      <xdr:row>65</xdr:row>
      <xdr:rowOff>66675</xdr:rowOff>
    </xdr:to>
    <xdr:pic>
      <xdr:nvPicPr>
        <xdr:cNvPr id="17" name="Picture 2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9950" y="1695450"/>
          <a:ext cx="3810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35</xdr:row>
      <xdr:rowOff>0</xdr:rowOff>
    </xdr:from>
    <xdr:to>
      <xdr:col>31</xdr:col>
      <xdr:colOff>9525</xdr:colOff>
      <xdr:row>65</xdr:row>
      <xdr:rowOff>9525</xdr:rowOff>
    </xdr:to>
    <xdr:pic>
      <xdr:nvPicPr>
        <xdr:cNvPr id="18" name="Picture 3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22325" y="1695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42</xdr:col>
      <xdr:colOff>0</xdr:colOff>
      <xdr:row>35</xdr:row>
      <xdr:rowOff>0</xdr:rowOff>
    </xdr:from>
    <xdr:to>
      <xdr:col>42</xdr:col>
      <xdr:colOff>28575</xdr:colOff>
      <xdr:row>65</xdr:row>
      <xdr:rowOff>28575</xdr:rowOff>
    </xdr:to>
    <xdr:pic>
      <xdr:nvPicPr>
        <xdr:cNvPr id="19" name="Picture 3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823525" y="1695450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9525</xdr:colOff>
      <xdr:row>65</xdr:row>
      <xdr:rowOff>9525</xdr:rowOff>
    </xdr:to>
    <xdr:pic>
      <xdr:nvPicPr>
        <xdr:cNvPr id="20" name="Picture 3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35100" y="1695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64</xdr:row>
      <xdr:rowOff>0</xdr:rowOff>
    </xdr:from>
    <xdr:to>
      <xdr:col>23</xdr:col>
      <xdr:colOff>9525</xdr:colOff>
      <xdr:row>65</xdr:row>
      <xdr:rowOff>9525</xdr:rowOff>
    </xdr:to>
    <xdr:pic>
      <xdr:nvPicPr>
        <xdr:cNvPr id="21" name="Picture 34" descr=" 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649950" y="1695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9525</xdr:colOff>
      <xdr:row>65</xdr:row>
      <xdr:rowOff>104775</xdr:rowOff>
    </xdr:to>
    <xdr:pic>
      <xdr:nvPicPr>
        <xdr:cNvPr id="22" name="Picture 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82150" y="16954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33</xdr:row>
      <xdr:rowOff>0</xdr:rowOff>
    </xdr:from>
    <xdr:to>
      <xdr:col>12</xdr:col>
      <xdr:colOff>9525</xdr:colOff>
      <xdr:row>65</xdr:row>
      <xdr:rowOff>104775</xdr:rowOff>
    </xdr:to>
    <xdr:pic>
      <xdr:nvPicPr>
        <xdr:cNvPr id="23" name="Picture 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82150" y="16954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35</xdr:row>
      <xdr:rowOff>0</xdr:rowOff>
    </xdr:from>
    <xdr:to>
      <xdr:col>12</xdr:col>
      <xdr:colOff>28575</xdr:colOff>
      <xdr:row>65</xdr:row>
      <xdr:rowOff>28575</xdr:rowOff>
    </xdr:to>
    <xdr:pic>
      <xdr:nvPicPr>
        <xdr:cNvPr id="24" name="Picture 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82150" y="1695450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64</xdr:row>
      <xdr:rowOff>0</xdr:rowOff>
    </xdr:from>
    <xdr:to>
      <xdr:col>12</xdr:col>
      <xdr:colOff>9525</xdr:colOff>
      <xdr:row>65</xdr:row>
      <xdr:rowOff>9525</xdr:rowOff>
    </xdr:to>
    <xdr:pic>
      <xdr:nvPicPr>
        <xdr:cNvPr id="25" name="Picture 3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82150" y="1695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istrator\Desktop\Copy%20of%2010stbyprogram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OMMON\TT\ARRA\ARRA_Allocations%20from%20GP%20October%2026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3362">
          <cell r="D3362">
            <v>182000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ormula"/>
      <sheetName val="project"/>
      <sheetName val="Sheet1"/>
    </sheetNames>
    <sheetDataSet>
      <sheetData sheetId="1">
        <row r="8">
          <cell r="AU8">
            <v>15591.892000000002</v>
          </cell>
          <cell r="AZ8">
            <v>0</v>
          </cell>
        </row>
        <row r="9">
          <cell r="AZ9">
            <v>0</v>
          </cell>
        </row>
        <row r="10">
          <cell r="AU10">
            <v>3408</v>
          </cell>
          <cell r="AZ10">
            <v>0</v>
          </cell>
        </row>
        <row r="11">
          <cell r="AU11">
            <v>5127.307000000001</v>
          </cell>
          <cell r="AZ11">
            <v>0</v>
          </cell>
        </row>
        <row r="12">
          <cell r="AU12">
            <v>63793.94699999999</v>
          </cell>
          <cell r="AZ12">
            <v>10000</v>
          </cell>
        </row>
        <row r="13">
          <cell r="AU13">
            <v>18828.150999999998</v>
          </cell>
          <cell r="AZ13">
            <v>10000</v>
          </cell>
        </row>
        <row r="14">
          <cell r="AU14">
            <v>26656.124000000003</v>
          </cell>
          <cell r="AZ14">
            <v>5000</v>
          </cell>
        </row>
        <row r="15">
          <cell r="AU15">
            <v>13992.778</v>
          </cell>
          <cell r="AZ15">
            <v>0</v>
          </cell>
        </row>
        <row r="16">
          <cell r="AU16">
            <v>34406.62099999999</v>
          </cell>
          <cell r="AZ16">
            <v>0</v>
          </cell>
        </row>
        <row r="17">
          <cell r="AU17">
            <v>49251.553</v>
          </cell>
          <cell r="AZ17">
            <v>2461</v>
          </cell>
        </row>
        <row r="18">
          <cell r="AU18">
            <v>14003.578000000001</v>
          </cell>
          <cell r="AZ18">
            <v>0</v>
          </cell>
        </row>
        <row r="19">
          <cell r="AZ19">
            <v>0</v>
          </cell>
        </row>
        <row r="20">
          <cell r="AZ20">
            <v>0</v>
          </cell>
        </row>
        <row r="21">
          <cell r="AU21">
            <v>71429.23900000002</v>
          </cell>
          <cell r="AZ21">
            <v>12290</v>
          </cell>
        </row>
        <row r="22">
          <cell r="AU22">
            <v>13174.5</v>
          </cell>
          <cell r="AZ22">
            <v>21001</v>
          </cell>
        </row>
        <row r="23">
          <cell r="AU23">
            <v>178.3</v>
          </cell>
          <cell r="AZ23">
            <v>0</v>
          </cell>
        </row>
        <row r="24">
          <cell r="AU24">
            <v>10905.931</v>
          </cell>
          <cell r="AZ24">
            <v>0</v>
          </cell>
        </row>
        <row r="25">
          <cell r="AU25">
            <v>6245.976000000001</v>
          </cell>
          <cell r="AZ25">
            <v>0</v>
          </cell>
        </row>
        <row r="26">
          <cell r="AU26">
            <v>8414</v>
          </cell>
          <cell r="AZ26">
            <v>0</v>
          </cell>
        </row>
        <row r="27">
          <cell r="AU27">
            <v>310</v>
          </cell>
          <cell r="AZ27">
            <v>0</v>
          </cell>
        </row>
        <row r="28">
          <cell r="AU28">
            <v>43523.78599999999</v>
          </cell>
          <cell r="AZ28">
            <v>9012.380000000001</v>
          </cell>
        </row>
        <row r="29">
          <cell r="AU29">
            <v>58982.809</v>
          </cell>
          <cell r="AZ29">
            <v>13750</v>
          </cell>
        </row>
        <row r="30">
          <cell r="AU30">
            <v>6312.974999999999</v>
          </cell>
          <cell r="AZ30">
            <v>0</v>
          </cell>
        </row>
        <row r="31">
          <cell r="AU31">
            <v>50247.707</v>
          </cell>
          <cell r="AZ31">
            <v>0</v>
          </cell>
        </row>
        <row r="32">
          <cell r="AU32">
            <v>8526.576</v>
          </cell>
          <cell r="AZ32">
            <v>0</v>
          </cell>
        </row>
        <row r="33">
          <cell r="AU33">
            <v>16909.817</v>
          </cell>
          <cell r="AZ33">
            <v>0</v>
          </cell>
        </row>
        <row r="34">
          <cell r="AZ34">
            <v>0</v>
          </cell>
        </row>
        <row r="35">
          <cell r="AU35">
            <v>747</v>
          </cell>
          <cell r="AZ35">
            <v>0</v>
          </cell>
        </row>
        <row r="36">
          <cell r="AU36">
            <v>10000</v>
          </cell>
          <cell r="AZ36">
            <v>0</v>
          </cell>
        </row>
        <row r="37">
          <cell r="AU37">
            <v>165</v>
          </cell>
          <cell r="AZ37">
            <v>0</v>
          </cell>
        </row>
        <row r="38">
          <cell r="AU38">
            <v>27113.061999999998</v>
          </cell>
          <cell r="AZ38">
            <v>0</v>
          </cell>
        </row>
        <row r="39">
          <cell r="AU39">
            <v>5338.8</v>
          </cell>
          <cell r="AZ39">
            <v>0</v>
          </cell>
        </row>
        <row r="40">
          <cell r="AU40">
            <v>18473.919</v>
          </cell>
          <cell r="AZ40">
            <v>0</v>
          </cell>
        </row>
        <row r="41">
          <cell r="AU41">
            <v>34087.28599999999</v>
          </cell>
          <cell r="AZ41">
            <v>0</v>
          </cell>
        </row>
        <row r="42">
          <cell r="AU42">
            <v>957.9159999999999</v>
          </cell>
          <cell r="AZ42">
            <v>0</v>
          </cell>
        </row>
        <row r="43">
          <cell r="AU43">
            <v>53707.85799999999</v>
          </cell>
          <cell r="AZ43">
            <v>0</v>
          </cell>
        </row>
        <row r="44">
          <cell r="AU44">
            <v>11546</v>
          </cell>
          <cell r="AZ44">
            <v>0</v>
          </cell>
        </row>
        <row r="45">
          <cell r="AU45">
            <v>3610.97</v>
          </cell>
          <cell r="AZ45">
            <v>0</v>
          </cell>
        </row>
        <row r="46">
          <cell r="AU46">
            <v>55162.818999999996</v>
          </cell>
          <cell r="AZ46">
            <v>0</v>
          </cell>
        </row>
        <row r="47">
          <cell r="AU47">
            <v>1819.115</v>
          </cell>
          <cell r="AZ47">
            <v>0</v>
          </cell>
        </row>
        <row r="48">
          <cell r="AU48">
            <v>13691.504</v>
          </cell>
          <cell r="AZ48">
            <v>0</v>
          </cell>
        </row>
        <row r="49">
          <cell r="AZ49">
            <v>0</v>
          </cell>
        </row>
        <row r="50">
          <cell r="AU50">
            <v>24828.99</v>
          </cell>
          <cell r="AZ50">
            <v>0</v>
          </cell>
        </row>
        <row r="51">
          <cell r="AU51">
            <v>21454.182000000004</v>
          </cell>
          <cell r="AZ51">
            <v>0</v>
          </cell>
        </row>
        <row r="52">
          <cell r="AU52">
            <v>2836.5</v>
          </cell>
          <cell r="AZ52">
            <v>0</v>
          </cell>
        </row>
        <row r="53">
          <cell r="AU53">
            <v>801.777</v>
          </cell>
          <cell r="AZ53">
            <v>2346.5</v>
          </cell>
        </row>
        <row r="54">
          <cell r="AU54">
            <v>4047.604</v>
          </cell>
          <cell r="AZ54">
            <v>0</v>
          </cell>
        </row>
        <row r="55">
          <cell r="AU55">
            <v>51775.383000000016</v>
          </cell>
          <cell r="AZ55">
            <v>10000</v>
          </cell>
        </row>
        <row r="56">
          <cell r="AZ56">
            <v>0</v>
          </cell>
        </row>
        <row r="57">
          <cell r="AU57">
            <v>9378.544</v>
          </cell>
          <cell r="AZ57">
            <v>0</v>
          </cell>
        </row>
        <row r="58">
          <cell r="AZ58">
            <v>0</v>
          </cell>
        </row>
        <row r="59">
          <cell r="AZ59">
            <v>0</v>
          </cell>
        </row>
        <row r="60">
          <cell r="AZ60">
            <v>0</v>
          </cell>
        </row>
        <row r="61">
          <cell r="AZ61">
            <v>0</v>
          </cell>
        </row>
        <row r="62">
          <cell r="AZ62">
            <v>0</v>
          </cell>
        </row>
        <row r="63">
          <cell r="AZ6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A8:U81" TargetMode="External" /><Relationship Id="rId2" Type="http://schemas.openxmlformats.org/officeDocument/2006/relationships/hyperlink" Target="A87:U157" TargetMode="External" /><Relationship Id="rId3" Type="http://schemas.openxmlformats.org/officeDocument/2006/relationships/hyperlink" Target="A161:U234" TargetMode="External" /><Relationship Id="rId4" Type="http://schemas.openxmlformats.org/officeDocument/2006/relationships/hyperlink" Target="A7:U80" TargetMode="External" /><Relationship Id="rId5" Type="http://schemas.openxmlformats.org/officeDocument/2006/relationships/hyperlink" Target="A162:U235" TargetMode="External" /><Relationship Id="rId6" Type="http://schemas.openxmlformats.org/officeDocument/2006/relationships/hyperlink" Target="A8:U81" TargetMode="External" /><Relationship Id="rId7" Type="http://schemas.openxmlformats.org/officeDocument/2006/relationships/hyperlink" Target="A87:U157" TargetMode="External" /><Relationship Id="rId8" Type="http://schemas.openxmlformats.org/officeDocument/2006/relationships/hyperlink" Target="A161:U234" TargetMode="External" /><Relationship Id="rId9" Type="http://schemas.openxmlformats.org/officeDocument/2006/relationships/hyperlink" Target="A7:U80" TargetMode="External" /><Relationship Id="rId10" Type="http://schemas.openxmlformats.org/officeDocument/2006/relationships/hyperlink" Target="A162:U235" TargetMode="External" /><Relationship Id="rId11" Type="http://schemas.openxmlformats.org/officeDocument/2006/relationships/hyperlink" Target="A8:U81" TargetMode="External" /><Relationship Id="rId12" Type="http://schemas.openxmlformats.org/officeDocument/2006/relationships/hyperlink" Target="A87:U157" TargetMode="External" /><Relationship Id="rId13" Type="http://schemas.openxmlformats.org/officeDocument/2006/relationships/hyperlink" Target="A161:U234" TargetMode="External" /><Relationship Id="rId14" Type="http://schemas.openxmlformats.org/officeDocument/2006/relationships/hyperlink" Target="A162:U235" TargetMode="External" /><Relationship Id="rId15" Type="http://schemas.openxmlformats.org/officeDocument/2006/relationships/hyperlink" Target="A8:U81" TargetMode="External" /><Relationship Id="rId16" Type="http://schemas.openxmlformats.org/officeDocument/2006/relationships/hyperlink" Target="A87:U157" TargetMode="External" /><Relationship Id="rId17" Type="http://schemas.openxmlformats.org/officeDocument/2006/relationships/hyperlink" Target="A161:U234" TargetMode="External" /><Relationship Id="rId18" Type="http://schemas.openxmlformats.org/officeDocument/2006/relationships/hyperlink" Target="A7:U80" TargetMode="External" /><Relationship Id="rId19" Type="http://schemas.openxmlformats.org/officeDocument/2006/relationships/hyperlink" Target="A85:U158" TargetMode="External" /><Relationship Id="rId20" Type="http://schemas.openxmlformats.org/officeDocument/2006/relationships/hyperlink" Target="A162:U235" TargetMode="External" /><Relationship Id="rId21" Type="http://schemas.openxmlformats.org/officeDocument/2006/relationships/hyperlink" Target="A85:U158" TargetMode="External" /><Relationship Id="rId22" Type="http://schemas.openxmlformats.org/officeDocument/2006/relationships/hyperlink" Target="A162:U235" TargetMode="External" /><Relationship Id="rId23" Type="http://schemas.openxmlformats.org/officeDocument/2006/relationships/hyperlink" Target="A7:U80" TargetMode="External" /><Relationship Id="rId24" Type="http://schemas.openxmlformats.org/officeDocument/2006/relationships/hyperlink" Target="A8:U81" TargetMode="External" /><Relationship Id="rId25" Type="http://schemas.openxmlformats.org/officeDocument/2006/relationships/hyperlink" Target="A87:U157" TargetMode="External" /><Relationship Id="rId26" Type="http://schemas.openxmlformats.org/officeDocument/2006/relationships/hyperlink" Target="A161:U234" TargetMode="External" /><Relationship Id="rId27" Type="http://schemas.openxmlformats.org/officeDocument/2006/relationships/hyperlink" Target="http://www.ed.gov/about/overview/budget/statetables/10stbyprogram.pdf" TargetMode="External" /><Relationship Id="rId28" Type="http://schemas.openxmlformats.org/officeDocument/2006/relationships/hyperlink" Target="http://www.ed.gov/about/overview/budget/statetables/index.html" TargetMode="External" /><Relationship Id="rId29" Type="http://schemas.openxmlformats.org/officeDocument/2006/relationships/hyperlink" Target="http://www.ed.gov/about/overview/budget/statetables/index.html" TargetMode="External" /><Relationship Id="rId30" Type="http://schemas.openxmlformats.org/officeDocument/2006/relationships/hyperlink" Target="http://www.ed.gov/about/overview/budget/statetables/index.html" TargetMode="External" /><Relationship Id="rId31" Type="http://schemas.openxmlformats.org/officeDocument/2006/relationships/hyperlink" Target="http://www.ed.gov/about/overview/budget/statetables/index.html" TargetMode="External" /><Relationship Id="rId32" Type="http://schemas.openxmlformats.org/officeDocument/2006/relationships/hyperlink" Target="http://www.ed.gov/about/overview/budget/statetables/index.html" TargetMode="External" /><Relationship Id="rId33" Type="http://schemas.openxmlformats.org/officeDocument/2006/relationships/hyperlink" Target="http://www.ed.gov/about/overview/budget/statetables/index.html" TargetMode="External" /><Relationship Id="rId34" Type="http://schemas.openxmlformats.org/officeDocument/2006/relationships/hyperlink" Target="http://www.ed.gov/about/overview/budget/statetables/index.html" TargetMode="External" /><Relationship Id="rId35" Type="http://schemas.openxmlformats.org/officeDocument/2006/relationships/hyperlink" Target="http://www.ed.gov/about/overview/budget/statetables/index.html" TargetMode="External" /><Relationship Id="rId36" Type="http://schemas.openxmlformats.org/officeDocument/2006/relationships/hyperlink" Target="http://www.fns.usda.gov/fdd/programs/tefap/tefap_ARRA_030209.pdf" TargetMode="External" /><Relationship Id="rId37" Type="http://schemas.openxmlformats.org/officeDocument/2006/relationships/hyperlink" Target="http://www.fns.usda.gov/CND/Governance/Policy-Memos/2009/SP_18-2009_os.pdf" TargetMode="External" /><Relationship Id="rId38" Type="http://schemas.openxmlformats.org/officeDocument/2006/relationships/hyperlink" Target="http://www.cbpp.org/files/1-22-09bud.pdf" TargetMode="External" /><Relationship Id="rId39" Type="http://schemas.openxmlformats.org/officeDocument/2006/relationships/hyperlink" Target="http://www.ed.gov/about/overview/budget/statetables/index.html" TargetMode="External" /><Relationship Id="rId40" Type="http://schemas.openxmlformats.org/officeDocument/2006/relationships/hyperlink" Target="http://www.ed.gov/about/overview/budget/statetables/index.html" TargetMode="External" /><Relationship Id="rId41" Type="http://schemas.openxmlformats.org/officeDocument/2006/relationships/hyperlink" Target="http://www.ed.gov/about/overview/budget/statetables/index.html" TargetMode="External" /><Relationship Id="rId42" Type="http://schemas.openxmlformats.org/officeDocument/2006/relationships/hyperlink" Target="http://www.ed.gov/about/overview/budget/statetables/index.html" TargetMode="External" /><Relationship Id="rId43" Type="http://schemas.openxmlformats.org/officeDocument/2006/relationships/hyperlink" Target="http://www.ed.gov/about/overview/budget/statetables/index.html" TargetMode="External" /><Relationship Id="rId44" Type="http://schemas.openxmlformats.org/officeDocument/2006/relationships/hyperlink" Target="http://www.ed.gov/about/overview/budget/statetables/index.html" TargetMode="External" /><Relationship Id="rId45" Type="http://schemas.openxmlformats.org/officeDocument/2006/relationships/hyperlink" Target="http://www.ed.gov/about/overview/budget/statetables/index.html" TargetMode="External" /><Relationship Id="rId46" Type="http://schemas.openxmlformats.org/officeDocument/2006/relationships/hyperlink" Target="http://www.workforcesecurity.doleta.gov/unemploy/laws.asp#modern" TargetMode="External" /><Relationship Id="rId47" Type="http://schemas.openxmlformats.org/officeDocument/2006/relationships/hyperlink" Target="http://www.ojp.usdoj.gov/ovc/fund/recoverycvfa2009.html" TargetMode="External" /><Relationship Id="rId48" Type="http://schemas.openxmlformats.org/officeDocument/2006/relationships/hyperlink" Target="http://www.ojp.usdoj.gov/ovc/fund/recoverycvfa2009.html" TargetMode="External" /><Relationship Id="rId49" Type="http://schemas.openxmlformats.org/officeDocument/2006/relationships/hyperlink" Target="http://www.ojp.usdoj.gov/recovery/awards.htm" TargetMode="External" /><Relationship Id="rId50" Type="http://schemas.openxmlformats.org/officeDocument/2006/relationships/hyperlink" Target="http://www.ojp.usdoj.gov/recovery/awards.htm" TargetMode="External" /><Relationship Id="rId51" Type="http://schemas.openxmlformats.org/officeDocument/2006/relationships/hyperlink" Target="http://www.ovw.usdoj.gov/recovery-grants-awards.htm" TargetMode="External" /><Relationship Id="rId52" Type="http://schemas.openxmlformats.org/officeDocument/2006/relationships/hyperlink" Target="http://www.nationalservice.gov/about/newsroom/releases_detail.asp?tbl_pr_id=1340#ARGSF" TargetMode="External" /><Relationship Id="rId53" Type="http://schemas.openxmlformats.org/officeDocument/2006/relationships/hyperlink" Target="http://www.acf.hhs.gov/programs/ofa/policy/pa-ofa/2009/pa200901a.htm" TargetMode="External" /><Relationship Id="rId54" Type="http://schemas.openxmlformats.org/officeDocument/2006/relationships/hyperlink" Target="http://www.dol.gov/recovery/map/map-eta.htm" TargetMode="External" /><Relationship Id="rId55" Type="http://schemas.openxmlformats.org/officeDocument/2006/relationships/hyperlink" Target="http://www.dol.gov/recovery/map/map-eta.htm" TargetMode="External" /><Relationship Id="rId56" Type="http://schemas.openxmlformats.org/officeDocument/2006/relationships/hyperlink" Target="http://www.dol.gov/recovery/map/map-eta.htm" TargetMode="External" /><Relationship Id="rId57" Type="http://schemas.openxmlformats.org/officeDocument/2006/relationships/hyperlink" Target="http://www.dol.gov/recovery/map/map-eta.htm" TargetMode="External" /><Relationship Id="rId58" Type="http://schemas.openxmlformats.org/officeDocument/2006/relationships/hyperlink" Target="http://www.dol.gov/recovery/map/map-eta.htm" TargetMode="External" /><Relationship Id="rId59" Type="http://schemas.openxmlformats.org/officeDocument/2006/relationships/hyperlink" Target="http://transparency.cit.nih.gov/RecoveryGrants/grant.cfm?grant=nap" TargetMode="External" /><Relationship Id="rId60" Type="http://schemas.openxmlformats.org/officeDocument/2006/relationships/hyperlink" Target="http://transparency.cit.nih.gov/RecoveryGrants/grant.cfm?grant=IncreasedDemand" TargetMode="External" /><Relationship Id="rId61" Type="http://schemas.openxmlformats.org/officeDocument/2006/relationships/hyperlink" Target="http://transparency.cit.nih.gov/RecoveryGrants/grant.cfm?grant=vaccines" TargetMode="External" /><Relationship Id="rId62" Type="http://schemas.openxmlformats.org/officeDocument/2006/relationships/hyperlink" Target="http://www.fhwa.dot.gov/legsregs/directives/notices/n4510705.htm" TargetMode="External" /><Relationship Id="rId63" Type="http://schemas.openxmlformats.org/officeDocument/2006/relationships/hyperlink" Target="http://www.fta.dot.gov/index_9440_9289.html" TargetMode="External" /><Relationship Id="rId64" Type="http://schemas.openxmlformats.org/officeDocument/2006/relationships/hyperlink" Target="http://edocket.access.gpo.gov/2009/pdf/E9-4745.pdf" TargetMode="External" /><Relationship Id="rId65" Type="http://schemas.openxmlformats.org/officeDocument/2006/relationships/hyperlink" Target="http://www.epa.gov/water/eparecovery/docs/Final_SRF_eco_recovery_allotments.pdf" TargetMode="External" /><Relationship Id="rId66" Type="http://schemas.openxmlformats.org/officeDocument/2006/relationships/hyperlink" Target="http://www.epa.gov/water/eparecovery/docs/Final_SRF_eco_recovery_allotments.pdf" TargetMode="External" /><Relationship Id="rId67" Type="http://schemas.openxmlformats.org/officeDocument/2006/relationships/hyperlink" Target="http://www.epa.gov/swerust1/eparecovery/statealloc.htm" TargetMode="External" /><Relationship Id="rId68" Type="http://schemas.openxmlformats.org/officeDocument/2006/relationships/hyperlink" Target="http://www.eecbg.energy.gov/grantees/default.html" TargetMode="External" /><Relationship Id="rId69" Type="http://schemas.openxmlformats.org/officeDocument/2006/relationships/hyperlink" Target="http://www.eecbg.energy.gov/grantees/default.html" TargetMode="External" /><Relationship Id="rId70" Type="http://schemas.openxmlformats.org/officeDocument/2006/relationships/hyperlink" Target="http://www.energy.gov/recovery/documents/EE_EnergyStar_State_Allocations.pdf" TargetMode="External" /><Relationship Id="rId71" Type="http://schemas.openxmlformats.org/officeDocument/2006/relationships/hyperlink" Target="http://portal.hud.gov/pls/portal/url/ITEM/68ABC226D879255DE04400144F9D3D85" TargetMode="External" /><Relationship Id="rId72" Type="http://schemas.openxmlformats.org/officeDocument/2006/relationships/hyperlink" Target="http://portal.hud.gov/pls/portal/url/ITEM/6B0FC9AE3FE858FFE04400144F9D3D85" TargetMode="External" /><Relationship Id="rId73" Type="http://schemas.openxmlformats.org/officeDocument/2006/relationships/hyperlink" Target="http://portal.hud.gov/pls/portal/url/ITEM/6B0E6B59D97F468BE04400144F9D3D85" TargetMode="External" /><Relationship Id="rId74" Type="http://schemas.openxmlformats.org/officeDocument/2006/relationships/hyperlink" Target="http://portal.hud.gov/pls/portal/url/ITEM/6B11841584926E71E04400144F9D3D85" TargetMode="External" /><Relationship Id="rId75" Type="http://schemas.openxmlformats.org/officeDocument/2006/relationships/hyperlink" Target="http://www.dol.gov/opa/media/press/eta/eta20090637.htm" TargetMode="External" /><Relationship Id="rId76" Type="http://schemas.openxmlformats.org/officeDocument/2006/relationships/hyperlink" Target="http://www.dol.gov/recovery/map/map-eta.htm" TargetMode="External" /><Relationship Id="rId77" Type="http://schemas.openxmlformats.org/officeDocument/2006/relationships/hyperlink" Target="http://www.fema.gov/government/grant/efs2009.shtm" TargetMode="External" /><Relationship Id="rId78" Type="http://schemas.openxmlformats.org/officeDocument/2006/relationships/hyperlink" Target="http://www.cms.hhs.gov/SMDL/SMD/itemdetail.asp?filterType=none&amp;filterByDID=0&amp;sortByDID=1&amp;sortOrder=descending&amp;itemID=CMS1227962&amp;intNumPerPage=10" TargetMode="External" /><Relationship Id="rId79" Type="http://schemas.openxmlformats.org/officeDocument/2006/relationships/hyperlink" Target="http://www.cms.hhs.gov/SMDL/SMD/itemdetail.asp?filterType=none&amp;filterByDID=0&amp;sortByDID=1&amp;sortOrder=descending&amp;itemID=CMS1227962&amp;intNumPerPage=10" TargetMode="External" /><Relationship Id="rId80" Type="http://schemas.openxmlformats.org/officeDocument/2006/relationships/hyperlink" Target="http://www.acf.hhs.gov/programs/cb/laws_policies/policy/pi/2009/pi0903.htm" TargetMode="External" /><Relationship Id="rId81" Type="http://schemas.openxmlformats.org/officeDocument/2006/relationships/hyperlink" Target="http://bphc.hrsa.gov/recovery/cip/" TargetMode="External" /><Relationship Id="rId82" Type="http://schemas.openxmlformats.org/officeDocument/2006/relationships/hyperlink" Target="http://bphc.hrsa.gov/recovery/ids/" TargetMode="External" /><Relationship Id="rId83" Type="http://schemas.openxmlformats.org/officeDocument/2006/relationships/hyperlink" Target="http://bphc.hrsa.gov/recovery/" TargetMode="External" /><Relationship Id="rId84" Type="http://schemas.openxmlformats.org/officeDocument/2006/relationships/hyperlink" Target="http://www.hhs.gov/recovery/programs/cdc/immunizationgrant.html" TargetMode="External" /><Relationship Id="rId85" Type="http://schemas.openxmlformats.org/officeDocument/2006/relationships/hyperlink" Target="http://www.ed.gov/policy/gen/leg/recovery/programs.html" TargetMode="External" /><Relationship Id="rId86" Type="http://schemas.openxmlformats.org/officeDocument/2006/relationships/hyperlink" Target="http://www.ed.gov/policy/gen/leg/recovery/programs.html" TargetMode="External" /><Relationship Id="rId87" Type="http://schemas.openxmlformats.org/officeDocument/2006/relationships/hyperlink" Target="http://www.ed.gov/policy/gen/leg/recovery/programs.html" TargetMode="External" /><Relationship Id="rId88" Type="http://schemas.openxmlformats.org/officeDocument/2006/relationships/hyperlink" Target="http://www.ed.gov/policy/gen/leg/recovery/programs.html" TargetMode="External" /><Relationship Id="rId89" Type="http://schemas.openxmlformats.org/officeDocument/2006/relationships/hyperlink" Target="http://www.ed.gov/policy/gen/leg/recovery/programs.html" TargetMode="External" /><Relationship Id="rId90" Type="http://schemas.openxmlformats.org/officeDocument/2006/relationships/hyperlink" Target="http://www.ed.gov/policy/gen/leg/recovery/programs.html" TargetMode="External" /><Relationship Id="rId91" Type="http://schemas.openxmlformats.org/officeDocument/2006/relationships/hyperlink" Target="http://www.ed.gov/policy/gen/leg/recovery/programs.html" TargetMode="External" /><Relationship Id="rId92" Type="http://schemas.openxmlformats.org/officeDocument/2006/relationships/hyperlink" Target="http://www.ed.gov/policy/gen/leg/recovery/programs.html" TargetMode="External" /><Relationship Id="rId93" Type="http://schemas.openxmlformats.org/officeDocument/2006/relationships/hyperlink" Target="http://www.ed.gov/policy/gen/leg/recovery/programs.html" TargetMode="External" /><Relationship Id="rId94" Type="http://schemas.openxmlformats.org/officeDocument/2006/relationships/hyperlink" Target="http://www.ed.gov/policy/gen/leg/recovery/programs.html" TargetMode="External" /><Relationship Id="rId95" Type="http://schemas.openxmlformats.org/officeDocument/2006/relationships/hyperlink" Target="http://www.ed.gov/policy/gen/leg/recovery/programs.html" TargetMode="External" /><Relationship Id="rId96" Type="http://schemas.openxmlformats.org/officeDocument/2006/relationships/hyperlink" Target="http://www.ed.gov/policy/gen/leg/recovery/programs.html" TargetMode="External" /><Relationship Id="rId97" Type="http://schemas.openxmlformats.org/officeDocument/2006/relationships/hyperlink" Target="http://www.ed.gov/policy/gen/leg/recovery/programs.html" TargetMode="External" /><Relationship Id="rId98" Type="http://schemas.openxmlformats.org/officeDocument/2006/relationships/hyperlink" Target="http://www.ed.gov/policy/gen/leg/recovery/programs.html" TargetMode="External" /><Relationship Id="rId99" Type="http://schemas.openxmlformats.org/officeDocument/2006/relationships/hyperlink" Target="http://www.ed.gov/policy/gen/leg/recovery/programs.html" TargetMode="External" /><Relationship Id="rId100" Type="http://schemas.openxmlformats.org/officeDocument/2006/relationships/hyperlink" Target="http://www.fhwa.dot.gov/economicrecovery/guidancelist.htm" TargetMode="External" /><Relationship Id="rId101" Type="http://schemas.openxmlformats.org/officeDocument/2006/relationships/hyperlink" Target="http://www.fta.dot.gov/index_9440_9922.html" TargetMode="External" /><Relationship Id="rId102" Type="http://schemas.openxmlformats.org/officeDocument/2006/relationships/hyperlink" Target="http://www.fta.dot.gov/index_9440_9917.html" TargetMode="External" /><Relationship Id="rId103" Type="http://schemas.openxmlformats.org/officeDocument/2006/relationships/hyperlink" Target="http://www.epa.gov/water/eparecovery/" TargetMode="External" /><Relationship Id="rId104" Type="http://schemas.openxmlformats.org/officeDocument/2006/relationships/hyperlink" Target="http://www.epa.gov/swerust1/eparecovery/index.htm" TargetMode="External" /><Relationship Id="rId105" Type="http://schemas.openxmlformats.org/officeDocument/2006/relationships/hyperlink" Target="http://apps1.eere.energy.gov/state_energy_program/recovery_act.cfm" TargetMode="External" /><Relationship Id="rId106" Type="http://schemas.openxmlformats.org/officeDocument/2006/relationships/hyperlink" Target="http://apps1.eere.energy.gov/wip/block_grants.cfm" TargetMode="External" /><Relationship Id="rId107" Type="http://schemas.openxmlformats.org/officeDocument/2006/relationships/hyperlink" Target="http://apps1.eere.energy.gov/wip/block_grants.cfm" TargetMode="External" /><Relationship Id="rId108" Type="http://schemas.openxmlformats.org/officeDocument/2006/relationships/hyperlink" Target="http://apps1.eere.energy.gov/news/daily.cfm/hp_news_id=178" TargetMode="External" /><Relationship Id="rId109" Type="http://schemas.openxmlformats.org/officeDocument/2006/relationships/hyperlink" Target="http://www.fema.gov/government/grant/efs.shtm" TargetMode="External" /><Relationship Id="rId110" Type="http://schemas.openxmlformats.org/officeDocument/2006/relationships/hyperlink" Target="http://www.fns.usda.gov/fdd/programs/tefap/tefap_guidance.htm" TargetMode="External" /><Relationship Id="rId111" Type="http://schemas.openxmlformats.org/officeDocument/2006/relationships/hyperlink" Target="http://www.fns.usda.gov/fdd/programs/tefap/tefap_guidance.htm" TargetMode="External" /><Relationship Id="rId112" Type="http://schemas.openxmlformats.org/officeDocument/2006/relationships/hyperlink" Target="http://www.fns.usda.gov/fns/recovery/recovery-snap.htm" TargetMode="External" /><Relationship Id="rId113" Type="http://schemas.openxmlformats.org/officeDocument/2006/relationships/hyperlink" Target="http://www.fns.usda.gov/fns/recovery/recovery-snap.htm" TargetMode="External" /><Relationship Id="rId114" Type="http://schemas.openxmlformats.org/officeDocument/2006/relationships/hyperlink" Target="http://www.fns.usda.gov/fns/recovery/recovery-snap.htm" TargetMode="External" /><Relationship Id="rId115" Type="http://schemas.openxmlformats.org/officeDocument/2006/relationships/hyperlink" Target="http://www.fns.usda.gov/fns/recovery/recovery-snap.htm" TargetMode="External" /><Relationship Id="rId116" Type="http://schemas.openxmlformats.org/officeDocument/2006/relationships/hyperlink" Target="http://www.fns.usda.gov/snap/rules/Memo/2009/081309.pdf" TargetMode="External" /><Relationship Id="rId117" Type="http://schemas.openxmlformats.org/officeDocument/2006/relationships/hyperlink" Target="http://www.fns.usda.gov/snap/rules/Memo/2009/030609a.pdf" TargetMode="External" /><Relationship Id="rId118" Type="http://schemas.openxmlformats.org/officeDocument/2006/relationships/hyperlink" Target="http://portal.hud.gov/portal/page/portal/RECOVERY/programs/COMMUNITY" TargetMode="External" /><Relationship Id="rId119" Type="http://schemas.openxmlformats.org/officeDocument/2006/relationships/hyperlink" Target="http://www.acf.hhs.gov/programs/ofa/policy/pa-ofa/2009/pa200901.htm" TargetMode="External" /><Relationship Id="rId120" Type="http://schemas.openxmlformats.org/officeDocument/2006/relationships/hyperlink" Target="http://www.epa.gov/water/eparecovery/" TargetMode="External" /><Relationship Id="rId121" Type="http://schemas.openxmlformats.org/officeDocument/2006/relationships/hyperlink" Target="http://inside.ffis.org//ff/SEP_guidance.pdf" TargetMode="External" /><Relationship Id="rId122" Type="http://schemas.openxmlformats.org/officeDocument/2006/relationships/hyperlink" Target="http://www.hud.gov/offices/lead/09NOFA/leadcombo.cfm" TargetMode="External" /><Relationship Id="rId123" Type="http://schemas.openxmlformats.org/officeDocument/2006/relationships/hyperlink" Target="http://www.hud.gov/offices/pih/ih/" TargetMode="External" /><Relationship Id="rId124" Type="http://schemas.openxmlformats.org/officeDocument/2006/relationships/hyperlink" Target="http://portal.hud.gov/portal/page/portal/RECOVERY/programs/PROJECT" TargetMode="External" /><Relationship Id="rId125" Type="http://schemas.openxmlformats.org/officeDocument/2006/relationships/hyperlink" Target="http://www.acf.hhs.gov/programs/cb/laws_policies/policy/pi/2009/pi0903.htm" TargetMode="External" /><Relationship Id="rId126" Type="http://schemas.openxmlformats.org/officeDocument/2006/relationships/hyperlink" Target="http://www.ojp.usdoj.gov/BJA/recoveryact.html" TargetMode="External" /><Relationship Id="rId127" Type="http://schemas.openxmlformats.org/officeDocument/2006/relationships/hyperlink" Target="http://www.ojp.usdoj.gov/BJA/recoveryact.html" TargetMode="External" /><Relationship Id="rId128" Type="http://schemas.openxmlformats.org/officeDocument/2006/relationships/hyperlink" Target="http://www.ojp.usdoj.gov/BJA/recoveryact.html" TargetMode="External" /><Relationship Id="rId129" Type="http://schemas.openxmlformats.org/officeDocument/2006/relationships/hyperlink" Target="http://www.ojp.usdoj.gov/BJA/recoveryact.html" TargetMode="External" /><Relationship Id="rId130" Type="http://schemas.openxmlformats.org/officeDocument/2006/relationships/hyperlink" Target="http://www.ovw.usdoj.gov/recovery-applicants.htm" TargetMode="External" /><Relationship Id="rId131" Type="http://schemas.openxmlformats.org/officeDocument/2006/relationships/hyperlink" Target="http://wdr.doleta.gov/directives/corr_doc.cfm?DOCN=2772" TargetMode="External" /><Relationship Id="rId132" Type="http://schemas.openxmlformats.org/officeDocument/2006/relationships/hyperlink" Target="http://wdr.doleta.gov/directives/corr_doc.cfm?docn=2730" TargetMode="External" /><Relationship Id="rId133" Type="http://schemas.openxmlformats.org/officeDocument/2006/relationships/hyperlink" Target="http://wdr.doleta.gov/directives/corr_doc.cfm?DOCN=2728" TargetMode="External" /><Relationship Id="rId134" Type="http://schemas.openxmlformats.org/officeDocument/2006/relationships/hyperlink" Target="http://wdr.doleta.gov/directives/corr_doc.cfm?DOCN=2728" TargetMode="External" /><Relationship Id="rId135" Type="http://schemas.openxmlformats.org/officeDocument/2006/relationships/hyperlink" Target="http://wdr.doleta.gov/directives/corr_doc.cfm?DOCN=2728" TargetMode="External" /><Relationship Id="rId136" Type="http://schemas.openxmlformats.org/officeDocument/2006/relationships/hyperlink" Target="http://wdr.doleta.gov/directives/corr_doc.cfm?DOCN=2728" TargetMode="External" /><Relationship Id="rId137" Type="http://schemas.openxmlformats.org/officeDocument/2006/relationships/hyperlink" Target="http://www.doleta.gov/Recovery/legislation.cfm" TargetMode="External" /><Relationship Id="rId138" Type="http://schemas.openxmlformats.org/officeDocument/2006/relationships/hyperlink" Target="http://www.doleta.gov/Recovery/legislation.cfm" TargetMode="External" /><Relationship Id="rId139" Type="http://schemas.openxmlformats.org/officeDocument/2006/relationships/hyperlink" Target="http://www.doleta.gov/Recovery/legislation.cfm" TargetMode="External" /><Relationship Id="rId140" Type="http://schemas.openxmlformats.org/officeDocument/2006/relationships/hyperlink" Target="http://www.doleta.gov/Recovery/legislation.cfm" TargetMode="External" /><Relationship Id="rId141" Type="http://schemas.openxmlformats.org/officeDocument/2006/relationships/hyperlink" Target="http://www.doleta.gov/Recovery/legislation.cfm" TargetMode="External" /><Relationship Id="rId142" Type="http://schemas.openxmlformats.org/officeDocument/2006/relationships/hyperlink" Target="http://www.ed.gov/policy/gen/leg/recovery/programs.html" TargetMode="External" /><Relationship Id="rId143" Type="http://schemas.openxmlformats.org/officeDocument/2006/relationships/hyperlink" Target="http://www.hhs.gov/recovery/cms/dsh.html" TargetMode="External" /><Relationship Id="rId144" Type="http://schemas.openxmlformats.org/officeDocument/2006/relationships/hyperlink" Target="http://transparency.cit.nih.gov/RecoveryGrants/grant.cfm?grant=DSH" TargetMode="External" /><Relationship Id="rId145" Type="http://schemas.openxmlformats.org/officeDocument/2006/relationships/hyperlink" Target="http://transparency.cit.nih.gov/RecoveryGrants/grant.cfm?grant=Reinvestment" TargetMode="External" /><Relationship Id="rId146" Type="http://schemas.openxmlformats.org/officeDocument/2006/relationships/hyperlink" Target="http://www.nationalservice.gov/about/recovery/index.asp" TargetMode="External" /><Relationship Id="rId147" Type="http://schemas.openxmlformats.org/officeDocument/2006/relationships/hyperlink" Target="http://arts.endow.gov/recovery/grants/ARRA-grants-to-states-regions.html" TargetMode="External" /><Relationship Id="rId148" Type="http://schemas.openxmlformats.org/officeDocument/2006/relationships/hyperlink" Target="http://arts.endow.gov/grants/apply/recovery-states/index.html" TargetMode="External" /><Relationship Id="rId149" Type="http://schemas.openxmlformats.org/officeDocument/2006/relationships/hyperlink" Target="A8:U81" TargetMode="External" /><Relationship Id="rId150" Type="http://schemas.openxmlformats.org/officeDocument/2006/relationships/hyperlink" Target="A87:U157" TargetMode="External" /><Relationship Id="rId151" Type="http://schemas.openxmlformats.org/officeDocument/2006/relationships/hyperlink" Target="A161:U234" TargetMode="External" /><Relationship Id="rId152" Type="http://schemas.openxmlformats.org/officeDocument/2006/relationships/hyperlink" Target="http://www.hhs.gov/news/press/2009pres/03/20090318a.html" TargetMode="External" /><Relationship Id="rId153" Type="http://schemas.openxmlformats.org/officeDocument/2006/relationships/hyperlink" Target="http://www.hhs.gov/news/press/2009pres/03/20090318a.html" TargetMode="External" /><Relationship Id="rId154" Type="http://schemas.openxmlformats.org/officeDocument/2006/relationships/hyperlink" Target="http://www.acf.hhs.gov/programs/ohs/policy/pi2009/acfpihs_09_06_a1.html" TargetMode="External" /><Relationship Id="rId155" Type="http://schemas.openxmlformats.org/officeDocument/2006/relationships/hyperlink" Target="http://www.acf.hhs.gov/programs/ccb/law/allocations/current/state2009/2009_arra.htm" TargetMode="External" /><Relationship Id="rId156" Type="http://schemas.openxmlformats.org/officeDocument/2006/relationships/hyperlink" Target="http://www.aoa.gov/AoAroot/PRESS_Room/News/2009/03_18_09.aspx" TargetMode="External" /><Relationship Id="rId157" Type="http://schemas.openxmlformats.org/officeDocument/2006/relationships/hyperlink" Target="http://www.aoa.gov/AoAroot/PRESS_Room/News/2009/03_18_09.aspx" TargetMode="External" /><Relationship Id="rId158" Type="http://schemas.openxmlformats.org/officeDocument/2006/relationships/hyperlink" Target="http://www.acf.hhs.gov/programs/ccb/initiatives/arra/index.htm" TargetMode="External" /><Relationship Id="rId159" Type="http://schemas.openxmlformats.org/officeDocument/2006/relationships/hyperlink" Target="http://www.hhs.gov/recovery/programs/acf/hs-ehs.html" TargetMode="External" /><Relationship Id="rId160" Type="http://schemas.openxmlformats.org/officeDocument/2006/relationships/hyperlink" Target="http://www.hhs.gov/recovery/programs/acf/csbg.html" TargetMode="External" /><Relationship Id="rId161" Type="http://schemas.openxmlformats.org/officeDocument/2006/relationships/hyperlink" Target="http://transparency.cit.nih.gov/RecoveryGrants/grant.cfm?grant=csbg" TargetMode="External" /><Relationship Id="rId162" Type="http://schemas.openxmlformats.org/officeDocument/2006/relationships/hyperlink" Target="http://www.va.gov/RECOVERY/docs/Grants_-_By_State.pdf" TargetMode="External" /><Relationship Id="rId163" Type="http://schemas.openxmlformats.org/officeDocument/2006/relationships/hyperlink" Target="http://www.va.gov/recovery/Agency_Plans_and_Reports.asp" TargetMode="External" /><Relationship Id="rId164" Type="http://schemas.openxmlformats.org/officeDocument/2006/relationships/hyperlink" Target="http://www.va.gov/recovery/Agency_Plans_and_Reports.asp" TargetMode="External" /><Relationship Id="rId165" Type="http://schemas.openxmlformats.org/officeDocument/2006/relationships/hyperlink" Target="http://www.va.gov/recovery/Agency_Plans_and_Reports.asp" TargetMode="External" /><Relationship Id="rId166" Type="http://schemas.openxmlformats.org/officeDocument/2006/relationships/hyperlink" Target="http://www.va.gov/RECOVERY/docs/NCA_-_By_State.pdf" TargetMode="External" /><Relationship Id="rId167" Type="http://schemas.openxmlformats.org/officeDocument/2006/relationships/hyperlink" Target="http://www.va.gov/RECOVERY/docs/Updated-VHA-ByState.pdf" TargetMode="External" /><Relationship Id="rId168" Type="http://schemas.openxmlformats.org/officeDocument/2006/relationships/hyperlink" Target="http://wdr.doleta.gov/directives/corr_doc.cfm?DOCN=2715" TargetMode="External" /><Relationship Id="rId169" Type="http://schemas.openxmlformats.org/officeDocument/2006/relationships/hyperlink" Target="http://www.ed.gov/policy/gen/leg/recovery/reporting-info-for-fws-20091009.doc" TargetMode="External" /><Relationship Id="rId170" Type="http://schemas.openxmlformats.org/officeDocument/2006/relationships/hyperlink" Target="http://www.ed.gov/policy/gen/leg/recovery/fws-questions-20091016.doc" TargetMode="External" /><Relationship Id="rId171" Type="http://schemas.openxmlformats.org/officeDocument/2006/relationships/hyperlink" Target="http://www.ed.gov/policy/gen/leg/recovery/elsec-reporting-tips-summary.doc" TargetMode="External" /><Relationship Id="rId172" Type="http://schemas.openxmlformats.org/officeDocument/2006/relationships/hyperlink" Target="http://www.ed.gov/policy/gen/leg/recovery/elsec-reporting-tips-summary.doc" TargetMode="External" /><Relationship Id="rId173" Type="http://schemas.openxmlformats.org/officeDocument/2006/relationships/hyperlink" Target="http://www.ed.gov/policy/gen/leg/recovery/elsec-reporting-tips-summary.doc" TargetMode="External" /><Relationship Id="rId174" Type="http://schemas.openxmlformats.org/officeDocument/2006/relationships/hyperlink" Target="http://www.ed.gov/policy/gen/leg/recovery/elsec-reporting-tips-summary.doc" TargetMode="External" /><Relationship Id="rId175" Type="http://schemas.openxmlformats.org/officeDocument/2006/relationships/hyperlink" Target="http://www.ed.gov/policy/gen/leg/recovery/elsec-reporting-tips-summary.doc" TargetMode="External" /><Relationship Id="rId176" Type="http://schemas.openxmlformats.org/officeDocument/2006/relationships/hyperlink" Target="http://www.ed.gov/policy/gen/leg/recovery/speced-reporting-tips.xls" TargetMode="External" /><Relationship Id="rId177" Type="http://schemas.openxmlformats.org/officeDocument/2006/relationships/hyperlink" Target="http://www.ed.gov/policy/gen/leg/recovery/speced-reporting-tips.xls" TargetMode="External" /><Relationship Id="rId178" Type="http://schemas.openxmlformats.org/officeDocument/2006/relationships/hyperlink" Target="http://www.ed.gov/policy/gen/leg/recovery/speced-reporting-tips.xls" TargetMode="External" /><Relationship Id="rId179" Type="http://schemas.openxmlformats.org/officeDocument/2006/relationships/hyperlink" Target="http://www.ed.gov/policy/gen/leg/recovery/speced-reporting-tips.xls" TargetMode="External" /><Relationship Id="rId180" Type="http://schemas.openxmlformats.org/officeDocument/2006/relationships/hyperlink" Target="http://www.ed.gov/policy/gen/leg/recovery/fws-tipsheet1009.pdf" TargetMode="External" /><Relationship Id="rId181" Type="http://schemas.openxmlformats.org/officeDocument/2006/relationships/hyperlink" Target="http://www.epa.gov/water/eparecovery/docs/2009_09_25_604b-ARRA_Recipient_Reporting_Guidance.pdf" TargetMode="External" /><Relationship Id="rId182" Type="http://schemas.openxmlformats.org/officeDocument/2006/relationships/hyperlink" Target="http://portal.hud.gov/portal/page/portal/RECOVERY/programs/TCAP_RESOURCES/TCAP-JOBCOUNT-GUIDE.pdf" TargetMode="External" /><Relationship Id="rId183" Type="http://schemas.openxmlformats.org/officeDocument/2006/relationships/hyperlink" Target="http://portal.hud.gov/pls/portal/url/ITEM/6B0F1A5A27A54F5DE04400144F9D3D85" TargetMode="External" /><Relationship Id="rId184" Type="http://schemas.openxmlformats.org/officeDocument/2006/relationships/hyperlink" Target="http://portal.hud.gov/portal/page/portal/RECOVERY/programs/TAX" TargetMode="External" /><Relationship Id="rId185" Type="http://schemas.openxmlformats.org/officeDocument/2006/relationships/hyperlink" Target="http://www.ovc.gov/fund/Recoveryfunds.html" TargetMode="External" /><Relationship Id="rId186" Type="http://schemas.openxmlformats.org/officeDocument/2006/relationships/hyperlink" Target="http://www.ovc.gov/fund/Recoveryfunds.html" TargetMode="External" /><Relationship Id="rId187" Type="http://schemas.openxmlformats.org/officeDocument/2006/relationships/hyperlink" Target="http://wdr.doleta.gov/directives/attach/TEGL/TEGL01-09.pdf" TargetMode="External" /><Relationship Id="rId188" Type="http://schemas.openxmlformats.org/officeDocument/2006/relationships/hyperlink" Target="http://wdr.doleta.gov/directives/attach/TEGL/TEGL01-09.pdf" TargetMode="External" /><Relationship Id="rId189" Type="http://schemas.openxmlformats.org/officeDocument/2006/relationships/hyperlink" Target="http://wdr.doleta.gov/directives/attach/TEGL/TEGL01-09.pdf" TargetMode="External" /><Relationship Id="rId190" Type="http://schemas.openxmlformats.org/officeDocument/2006/relationships/hyperlink" Target="http://www.fns.usda.gov/cnd/Governance/Policy-Memos/2009/SP_36-2009_os.pdf" TargetMode="External" /><Relationship Id="rId191" Type="http://schemas.openxmlformats.org/officeDocument/2006/relationships/hyperlink" Target="http://www.fns.usda.gov/fdd/programs/tefap/TEFAP-ARRAreportingGuidance.pdf" TargetMode="External" /><Relationship Id="rId192" Type="http://schemas.openxmlformats.org/officeDocument/2006/relationships/hyperlink" Target="http://www.fns.usda.gov/fdd/programs/tefap/TEFAP-ARRAreportingGuidance.pdf" TargetMode="External" /><Relationship Id="rId193" Type="http://schemas.openxmlformats.org/officeDocument/2006/relationships/hyperlink" Target="http://www.fns.usda.gov/fns/recovery/memos/TEFAP_080309.pdf" TargetMode="External" /><Relationship Id="rId194" Type="http://schemas.openxmlformats.org/officeDocument/2006/relationships/hyperlink" Target="http://www.fns.usda.gov/fns/recovery/memos/TEFAP_080309.pdf" TargetMode="External" /><Relationship Id="rId195" Type="http://schemas.openxmlformats.org/officeDocument/2006/relationships/hyperlink" Target="http://www.doleta.gov/recovery/Section_1512_FAQs.cfm" TargetMode="External" /><Relationship Id="rId196" Type="http://schemas.openxmlformats.org/officeDocument/2006/relationships/hyperlink" Target="http://www.doleta.gov/recovery/Section_1512_FAQs.cfm" TargetMode="External" /><Relationship Id="rId197" Type="http://schemas.openxmlformats.org/officeDocument/2006/relationships/hyperlink" Target="http://www.doleta.gov/recovery/Section_1512_FAQs.cfm" TargetMode="External" /><Relationship Id="rId198" Type="http://schemas.openxmlformats.org/officeDocument/2006/relationships/hyperlink" Target="http://www.ed.gov/policy/gen/leg/recovery/elsec-reporting-tips-summary.doc" TargetMode="External" /><Relationship Id="rId199" Type="http://schemas.openxmlformats.org/officeDocument/2006/relationships/hyperlink" Target="http://wdr.doleta.gov/directives/attach/TEGL/TEGL01-09.pdf" TargetMode="External" /><Relationship Id="rId200" Type="http://schemas.openxmlformats.org/officeDocument/2006/relationships/hyperlink" Target="http://wdr.doleta.gov/directives/attach/TEGL/TEGL01-09.pdf" TargetMode="External" /><Relationship Id="rId201" Type="http://schemas.openxmlformats.org/officeDocument/2006/relationships/hyperlink" Target="A8:U81" TargetMode="External" /><Relationship Id="rId202" Type="http://schemas.openxmlformats.org/officeDocument/2006/relationships/hyperlink" Target="A161:U234" TargetMode="External" /><Relationship Id="rId203" Type="http://schemas.openxmlformats.org/officeDocument/2006/relationships/hyperlink" Target="http://www.cms.hhs.gov/SMDL/SMD/itemdetail.asp?filterType=none&amp;filterByDID=0&amp;sortByDID=1&amp;sortOrder=descending&amp;itemID=CMS1227962&amp;intNumPerPage=10" TargetMode="External" /><Relationship Id="rId204" Type="http://schemas.openxmlformats.org/officeDocument/2006/relationships/hyperlink" Target="http://transparency.cit.nih.gov/RecoveryGrants/grant.cfm?grant=Reinvestment" TargetMode="External" /><Relationship Id="rId205" Type="http://schemas.openxmlformats.org/officeDocument/2006/relationships/hyperlink" Target="http://www.fta.dot.gov/index_9440_10542.html#report" TargetMode="External" /><Relationship Id="rId206" Type="http://schemas.openxmlformats.org/officeDocument/2006/relationships/hyperlink" Target="http://www.fhwa.dot.gov/economicrecovery/1512reporting.htm" TargetMode="External" /><Relationship Id="rId207" Type="http://schemas.openxmlformats.org/officeDocument/2006/relationships/hyperlink" Target="http://bphc.hrsa.gov/recovery/hcqr/" TargetMode="External" /><Relationship Id="rId208" Type="http://schemas.openxmlformats.org/officeDocument/2006/relationships/hyperlink" Target="http://bphc.hrsa.gov/recovery/hcqr/" TargetMode="External" /><Relationship Id="rId209" Type="http://schemas.openxmlformats.org/officeDocument/2006/relationships/hyperlink" Target="http://bphc.hrsa.gov/recovery/hcqr/" TargetMode="External" /><Relationship Id="rId210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jp.usdoj.gov/recovery/Tribalcorrectional_Awards.htm" TargetMode="External" /><Relationship Id="rId2" Type="http://schemas.openxmlformats.org/officeDocument/2006/relationships/hyperlink" Target="http://www.ojp.usdoj.gov/recovery/RLEA_Awards.htm" TargetMode="External" /><Relationship Id="rId3" Type="http://schemas.openxmlformats.org/officeDocument/2006/relationships/hyperlink" Target="http://www.ojp.usdoj.gov/recovery/HIDTA_Awards.htm" TargetMode="External" /><Relationship Id="rId4" Type="http://schemas.openxmlformats.org/officeDocument/2006/relationships/hyperlink" Target="http://www.cops.usdoj.gov/Default.asp?Item=2208" TargetMode="External" /><Relationship Id="rId5" Type="http://schemas.openxmlformats.org/officeDocument/2006/relationships/hyperlink" Target="http://www.ovw.usdoj.gov/recovery-awards.htm" TargetMode="External" /><Relationship Id="rId6" Type="http://schemas.openxmlformats.org/officeDocument/2006/relationships/hyperlink" Target="http://www.ovw.usdoj.gov/recovery-awards.htm" TargetMode="External" /><Relationship Id="rId7" Type="http://schemas.openxmlformats.org/officeDocument/2006/relationships/hyperlink" Target="http://www.ovw.usdoj.gov/recovery-awards.htm" TargetMode="External" /><Relationship Id="rId8" Type="http://schemas.openxmlformats.org/officeDocument/2006/relationships/hyperlink" Target="http://www.ovw.usdoj.gov/recovery-grants-awards.htm" TargetMode="External" /><Relationship Id="rId9" Type="http://schemas.openxmlformats.org/officeDocument/2006/relationships/hyperlink" Target="http://www.ovw.usdoj.gov/recovery-grants-awards.htm" TargetMode="External" /><Relationship Id="rId10" Type="http://schemas.openxmlformats.org/officeDocument/2006/relationships/hyperlink" Target="http://www.ovw.usdoj.gov/recovery-grants-awards.htm" TargetMode="External" /><Relationship Id="rId11" Type="http://schemas.openxmlformats.org/officeDocument/2006/relationships/hyperlink" Target="http://www.eda.gov/NewsEvents/NewInvestments.xml" TargetMode="External" /><Relationship Id="rId12" Type="http://schemas.openxmlformats.org/officeDocument/2006/relationships/hyperlink" Target="http://www.doleta.gov/youth_services/pdf/Complete_YouthBuild_Grants_2009_List.pdf" TargetMode="External" /><Relationship Id="rId13" Type="http://schemas.openxmlformats.org/officeDocument/2006/relationships/hyperlink" Target="http://www.doleta.gov/Recovery/news.cfm" TargetMode="External" /><Relationship Id="rId14" Type="http://schemas.openxmlformats.org/officeDocument/2006/relationships/hyperlink" Target="http://www.nationalservice.gov/about/newsroom/releases_detail.asp?tbl_pr_id=1340#ARGSC" TargetMode="External" /><Relationship Id="rId15" Type="http://schemas.openxmlformats.org/officeDocument/2006/relationships/hyperlink" Target="http://recovery.doi.gov/press/wp-content/uploads/2009/05/blm-recovery-act-projects.pdf" TargetMode="External" /><Relationship Id="rId16" Type="http://schemas.openxmlformats.org/officeDocument/2006/relationships/hyperlink" Target="http://recovery.doi.gov/docs/bor/project_list_summary.pdf" TargetMode="External" /><Relationship Id="rId17" Type="http://schemas.openxmlformats.org/officeDocument/2006/relationships/hyperlink" Target="http://www.fs.fed.us/fstoday/090619/02National_News/FS_ARRA_Projects_approved_as_of_090623.pdf#xml=http://www.fs.fed.us/cgi-bin/texis/searchallsites/search.allsites/xml.txt?query=ARRA&amp;db=allsites&amp;id=4a44c3280" TargetMode="External" /><Relationship Id="rId18" Type="http://schemas.openxmlformats.org/officeDocument/2006/relationships/hyperlink" Target="http://www.nrcs.usda.gov/recovery/" TargetMode="External" /><Relationship Id="rId19" Type="http://schemas.openxmlformats.org/officeDocument/2006/relationships/hyperlink" Target="http://www.usda.gov/wps/portal/!ut/p/_s.7_0_A/7_0_1OB?contentidonly=true&amp;contentid=2009/09/0462.xml" TargetMode="External" /><Relationship Id="rId20" Type="http://schemas.openxmlformats.org/officeDocument/2006/relationships/hyperlink" Target="http://www.acf.hhs.gov/grants/open/HHS-2009-ACF-OHS-SH-0089.html" TargetMode="External" /><Relationship Id="rId21" Type="http://schemas.openxmlformats.org/officeDocument/2006/relationships/hyperlink" Target="http://www.acf.hhs.gov/grants/open/HHS-2009-ACF-OHS-SA-0087.html" TargetMode="External" /><Relationship Id="rId22" Type="http://schemas.openxmlformats.org/officeDocument/2006/relationships/hyperlink" Target="http://www.hhs.gov/recovery/programs/hrsa/healthprofessionsawardeesbystate.html" TargetMode="External" /><Relationship Id="rId23" Type="http://schemas.openxmlformats.org/officeDocument/2006/relationships/hyperlink" Target="http://www.hhs.gov/recovery/programs/hrsa/healthprofessionsawardeesbystate.html" TargetMode="External" /><Relationship Id="rId24" Type="http://schemas.openxmlformats.org/officeDocument/2006/relationships/hyperlink" Target="http://www.hhs.gov/recovery/programs/hrsa/healthprofessionsawardeesbystate.html" TargetMode="External" /><Relationship Id="rId25" Type="http://schemas.openxmlformats.org/officeDocument/2006/relationships/hyperlink" Target="http://www.hhs.gov/recovery/programs/hrsa/healthprofessionsawardeesbystate.html" TargetMode="External" /><Relationship Id="rId26" Type="http://schemas.openxmlformats.org/officeDocument/2006/relationships/hyperlink" Target="http://www.acf.hhs.gov/news/press/2009/scf_chart.html" TargetMode="External" /><Relationship Id="rId27" Type="http://schemas.openxmlformats.org/officeDocument/2006/relationships/hyperlink" Target="http://www.hud.gov/offices/pih/ih/recovery.cfm" TargetMode="External" /><Relationship Id="rId28" Type="http://schemas.openxmlformats.org/officeDocument/2006/relationships/hyperlink" Target="http://www.hud.gov/offices/pih/ih/recovery.cfm" TargetMode="External" /><Relationship Id="rId29" Type="http://schemas.openxmlformats.org/officeDocument/2006/relationships/hyperlink" Target="http://www.energy.gov/news2009/7791.htm" TargetMode="External" /><Relationship Id="rId30" Type="http://schemas.openxmlformats.org/officeDocument/2006/relationships/hyperlink" Target="http://www.energy.gov/news2009/7851.htm" TargetMode="External" /><Relationship Id="rId31" Type="http://schemas.openxmlformats.org/officeDocument/2006/relationships/hyperlink" Target="http://www.epa.gov/brownfields/grant_announce/arrareglist.pdf" TargetMode="External" /><Relationship Id="rId32" Type="http://schemas.openxmlformats.org/officeDocument/2006/relationships/hyperlink" Target="http://www.epa.gov/brownfields/grant_announce/recovact5509.pdf" TargetMode="External" /><Relationship Id="rId33" Type="http://schemas.openxmlformats.org/officeDocument/2006/relationships/hyperlink" Target="http://epa.gov/otaq/diesel/projnational-aara.htm" TargetMode="External" /><Relationship Id="rId34" Type="http://schemas.openxmlformats.org/officeDocument/2006/relationships/hyperlink" Target="http://www.fhwa.dot.gov/pressroom/fhwa0921.htm" TargetMode="External" /><Relationship Id="rId35" Type="http://schemas.openxmlformats.org/officeDocument/2006/relationships/hyperlink" Target="http://www.epa.gov/brownfields/eparecovery/index.htm" TargetMode="External" /><Relationship Id="rId36" Type="http://schemas.openxmlformats.org/officeDocument/2006/relationships/hyperlink" Target="http://www.fns.usda.gov/fns/recovery/memos/WIC_registration-reporting.pdf" TargetMode="External" /><Relationship Id="rId37" Type="http://schemas.openxmlformats.org/officeDocument/2006/relationships/hyperlink" Target="http://edocket.access.gpo.gov/2009/E9-24479.htm" TargetMode="External" /><Relationship Id="rId38" Type="http://schemas.openxmlformats.org/officeDocument/2006/relationships/hyperlink" Target="http://www.ojp.usdoj.gov/newsroom/pressreleases/2009/OJJDP09157.htm" TargetMode="External" /><Relationship Id="rId39" Type="http://schemas.openxmlformats.org/officeDocument/2006/relationships/hyperlink" Target="http://www.rurdev.usda.gov/rd/newsroom/news.htm" TargetMode="External" /><Relationship Id="rId40" Type="http://schemas.openxmlformats.org/officeDocument/2006/relationships/hyperlink" Target="http://www.dhs.gov/ynews/releases/pr_1253638502878.shtm" TargetMode="External" /><Relationship Id="rId41" Type="http://schemas.openxmlformats.org/officeDocument/2006/relationships/hyperlink" Target="http://www.dhs.gov/ynews/releases/pr_1248891182416.shtm" TargetMode="External" /><Relationship Id="rId42" Type="http://schemas.openxmlformats.org/officeDocument/2006/relationships/hyperlink" Target="http://www.fema.gov/pdf/government/grant/arra/arra_scg_faqs.pdf" TargetMode="External" /><Relationship Id="rId43" Type="http://schemas.openxmlformats.org/officeDocument/2006/relationships/hyperlink" Target="http://www.fema.gov/pdf/government/grant/arra/arra_tsgp_faqs.pdf" TargetMode="External" /><Relationship Id="rId44" Type="http://schemas.openxmlformats.org/officeDocument/2006/relationships/hyperlink" Target="http://www.fema.gov/pdf/government/grant/arra/arra_psgp_faqs.pdf" TargetMode="External" /><Relationship Id="rId45" Type="http://schemas.openxmlformats.org/officeDocument/2006/relationships/hyperlink" Target="http://www.eda.gov/PDF/Recipient%20Reporting%20Instructions%20for%20web.pdf" TargetMode="External" /><Relationship Id="rId46" Type="http://schemas.openxmlformats.org/officeDocument/2006/relationships/hyperlink" Target="http://www.eda.gov/PDF/Receipient%20Report%20Spreadsheet%20Template%20for%20web.xls" TargetMode="External" /><Relationship Id="rId47" Type="http://schemas.openxmlformats.org/officeDocument/2006/relationships/hyperlink" Target="http://www.doleta.gov/Recovery/legislation.cfm" TargetMode="External" /><Relationship Id="rId48" Type="http://schemas.openxmlformats.org/officeDocument/2006/relationships/hyperlink" Target="http://wdr.doleta.gov/directives/attach/TEGL/TEGL01-09.pdf" TargetMode="External" /><Relationship Id="rId49" Type="http://schemas.openxmlformats.org/officeDocument/2006/relationships/hyperlink" Target="http://www.doleta.gov/Recovery/legislation.cfm" TargetMode="External" /><Relationship Id="rId50" Type="http://schemas.openxmlformats.org/officeDocument/2006/relationships/hyperlink" Target="http://wdr.doleta.gov/directives/attach/TEGL/TEGL01-09.pdf" TargetMode="External" /><Relationship Id="rId51" Type="http://schemas.openxmlformats.org/officeDocument/2006/relationships/hyperlink" Target="http://www.doleta.gov/Recovery/legislation.cfm" TargetMode="External" /><Relationship Id="rId52" Type="http://schemas.openxmlformats.org/officeDocument/2006/relationships/hyperlink" Target="http://wdr.doleta.gov/directives/attach/TEGL/TEGL01-09.pdf" TargetMode="External" /><Relationship Id="rId53" Type="http://schemas.openxmlformats.org/officeDocument/2006/relationships/hyperlink" Target="http://www.irs.gov/pub/irs-drop/n-09-35.pdf" TargetMode="External" /><Relationship Id="rId54" Type="http://schemas.openxmlformats.org/officeDocument/2006/relationships/hyperlink" Target="http://www.irs.gov/pub/irs-drop/n-09-35.pdf" TargetMode="External" /><Relationship Id="rId55" Type="http://schemas.openxmlformats.org/officeDocument/2006/relationships/hyperlink" Target="http://www.treasury.gov/press/releases/reports/housing%20$3%20billion%20mark%20release%20%20final%20_2_.pdf" TargetMode="External" /><Relationship Id="rId56" Type="http://schemas.openxmlformats.org/officeDocument/2006/relationships/hyperlink" Target="http://www.irs.gov/pub/irs-drop/n-09-35.pdf" TargetMode="External" /><Relationship Id="rId57" Type="http://schemas.openxmlformats.org/officeDocument/2006/relationships/hyperlink" Target="http://www.irs.gov/pub/irs-drop/n-09-35.pdf" TargetMode="External" /><Relationship Id="rId58" Type="http://schemas.openxmlformats.org/officeDocument/2006/relationships/hyperlink" Target="http://www.irs.gov/pub/irs-drop/n-09-33.pdf" TargetMode="External" /><Relationship Id="rId59" Type="http://schemas.openxmlformats.org/officeDocument/2006/relationships/hyperlink" Target="http://www.irs.gov/pub/irs-tege/ncrebs_2009_allocations_v1.1.pdf" TargetMode="External" /><Relationship Id="rId60" Type="http://schemas.openxmlformats.org/officeDocument/2006/relationships/hyperlink" Target="http://www.irs.gov/pub/irs-tege/ncrebs_2009_allocations_v1.1.pdf" TargetMode="External" /><Relationship Id="rId61" Type="http://schemas.openxmlformats.org/officeDocument/2006/relationships/hyperlink" Target="http://www.irs.gov/pub/irs-tege/ncrebs_2009_allocations_v1.1.pdf" TargetMode="External" /><Relationship Id="rId62" Type="http://schemas.openxmlformats.org/officeDocument/2006/relationships/hyperlink" Target="http://www.irs.gov/pub/irs-drop/n-09-33.pdf" TargetMode="External" /><Relationship Id="rId63" Type="http://schemas.openxmlformats.org/officeDocument/2006/relationships/hyperlink" Target="http://www.irs.gov/pub/irs-drop/n-09-33.pdf" TargetMode="External" /><Relationship Id="rId64" Type="http://schemas.openxmlformats.org/officeDocument/2006/relationships/hyperlink" Target="http://www.energy.gov/news2009/documents2009/338M_Geothermal_Project_Descriptions.pdf" TargetMode="External" /><Relationship Id="rId65" Type="http://schemas.openxmlformats.org/officeDocument/2006/relationships/hyperlink" Target="http://www.usda.gov/wps/portal/!ut/p/_s.7_0_A/7_0_1OB?contentidonly=true&amp;contentid=2009/10/0521.xml" TargetMode="External" /><Relationship Id="rId66" Type="http://schemas.openxmlformats.org/officeDocument/2006/relationships/hyperlink" Target="http://www.rurdev.usda.gov/arra/ARRARecipientReportingRequirements.PDF" TargetMode="External" /><Relationship Id="rId67" Type="http://schemas.openxmlformats.org/officeDocument/2006/relationships/hyperlink" Target="http://www.rurdev.usda.gov/arra/ARRARecipientReportingRequirements.PDF" TargetMode="External" /><Relationship Id="rId68" Type="http://schemas.openxmlformats.org/officeDocument/2006/relationships/hyperlink" Target="http://www.rurdev.usda.gov/arra/ARRARecipientReportingRequirements.PDF" TargetMode="External" /><Relationship Id="rId69" Type="http://schemas.openxmlformats.org/officeDocument/2006/relationships/hyperlink" Target="http://www.faa.gov/recovery/programs/" TargetMode="External" /><Relationship Id="rId70" Type="http://schemas.openxmlformats.org/officeDocument/2006/relationships/hyperlink" Target="http://www.fta.dot.gov/index_9440_10542.html#report" TargetMode="External" /><Relationship Id="rId71" Type="http://schemas.openxmlformats.org/officeDocument/2006/relationships/hyperlink" Target="http://www.energy.gov/news2009/documents2009/ARPA-E_Project_Selections.pdf" TargetMode="External" /><Relationship Id="rId72" Type="http://schemas.openxmlformats.org/officeDocument/2006/relationships/hyperlink" Target="http://www.energy.gov/recovery/smartgrid_maps/SGIGSelections_State.pdf" TargetMode="External" /><Relationship Id="rId73" Type="http://schemas.openxmlformats.org/officeDocument/2006/relationships/hyperlink" Target="http://www.hhs.gov/news/press/2009pres/09/20090929a.html" TargetMode="External" /><Relationship Id="rId74" Type="http://schemas.openxmlformats.org/officeDocument/2006/relationships/drawing" Target="../drawings/drawing1.xml" /><Relationship Id="rId7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ed.gov/policy/gen/leg/recovery/section-1512.html" TargetMode="External" /><Relationship Id="rId2" Type="http://schemas.openxmlformats.org/officeDocument/2006/relationships/hyperlink" Target="http://recovery.commerce.gov/RecipientReportingResources" TargetMode="External" /><Relationship Id="rId3" Type="http://schemas.openxmlformats.org/officeDocument/2006/relationships/hyperlink" Target="http://epa.gov/recovery/supplement.html" TargetMode="External" /><Relationship Id="rId4" Type="http://schemas.openxmlformats.org/officeDocument/2006/relationships/hyperlink" Target="http://portal.hud.gov/portal/page/portal/RECOVERY/Reporting" TargetMode="External" /><Relationship Id="rId5" Type="http://schemas.openxmlformats.org/officeDocument/2006/relationships/hyperlink" Target="http://www.recovery.gov/sites/default/files/HUD%20Job%20Count%20Guidance.pdf" TargetMode="External" /><Relationship Id="rId6" Type="http://schemas.openxmlformats.org/officeDocument/2006/relationships/hyperlink" Target="http://www.hud.gov/offices/pih/programs/ph/capfund/ocir.cfm" TargetMode="External" /><Relationship Id="rId7" Type="http://schemas.openxmlformats.org/officeDocument/2006/relationships/hyperlink" Target="http://www.ojp.gov/recovery/recipientreporting.htm" TargetMode="External" /><Relationship Id="rId8" Type="http://schemas.openxmlformats.org/officeDocument/2006/relationships/hyperlink" Target="http://wdr.doleta.gov/directives/corr_doc.cfm?DOCN=2792" TargetMode="External" /><Relationship Id="rId9" Type="http://schemas.openxmlformats.org/officeDocument/2006/relationships/hyperlink" Target="http://www.dot.gov/recovery/docs/section1512jobsreporting.htm" TargetMode="External" /><Relationship Id="rId10" Type="http://schemas.openxmlformats.org/officeDocument/2006/relationships/hyperlink" Target="http://www.dot.gov/recovery/docs/section1512faq.htm" TargetMode="External" /><Relationship Id="rId11" Type="http://schemas.openxmlformats.org/officeDocument/2006/relationships/hyperlink" Target="http://www.usda.gov/wps/portal/usdahome?contentidonly=true&amp;contentid=Supp_jobs_guidance.xml" TargetMode="External" /><Relationship Id="rId12" Type="http://schemas.openxmlformats.org/officeDocument/2006/relationships/hyperlink" Target="http://recovery.commerce.gov/JobCreationGuidance" TargetMode="External" /><Relationship Id="rId13" Type="http://schemas.openxmlformats.org/officeDocument/2006/relationships/hyperlink" Target="http://taggs.hhs.gov/ReadinessTool/" TargetMode="External" /><Relationship Id="rId14" Type="http://schemas.openxmlformats.org/officeDocument/2006/relationships/hyperlink" Target="http://www.hhs.gov/recovery/reports/reportingassistance.html" TargetMode="External" /><Relationship Id="rId15" Type="http://schemas.openxmlformats.org/officeDocument/2006/relationships/hyperlink" Target="http://www.epa.gov/recovery/recipient.html" TargetMode="External" /><Relationship Id="rId16" Type="http://schemas.openxmlformats.org/officeDocument/2006/relationships/hyperlink" Target="http://www.irs.gov/newsroom/article/0,,id=204335,00.html" TargetMode="External" /><Relationship Id="rId17" Type="http://schemas.openxmlformats.org/officeDocument/2006/relationships/hyperlink" Target="http://www.whitehouse.gov/omb/recovery_default/" TargetMode="External" /><Relationship Id="rId18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K117"/>
  <sheetViews>
    <sheetView showGridLines="0" zoomScale="85" zoomScaleNormal="85" zoomScalePageLayoutView="0" workbookViewId="0" topLeftCell="A1">
      <pane xSplit="1" topLeftCell="B1" activePane="topRight" state="frozen"/>
      <selection pane="topLeft" activeCell="A1" sqref="A1"/>
      <selection pane="topRight" activeCell="A77" sqref="A77"/>
    </sheetView>
  </sheetViews>
  <sheetFormatPr defaultColWidth="9.140625" defaultRowHeight="12.75"/>
  <cols>
    <col min="1" max="1" width="22.140625" style="13" customWidth="1"/>
    <col min="2" max="2" width="14.421875" style="13" customWidth="1"/>
    <col min="3" max="3" width="15.7109375" style="96" customWidth="1"/>
    <col min="4" max="4" width="2.140625" style="96" customWidth="1"/>
    <col min="5" max="5" width="13.421875" style="96" customWidth="1"/>
    <col min="6" max="6" width="1.7109375" style="97" customWidth="1"/>
    <col min="7" max="7" width="13.421875" style="96" customWidth="1"/>
    <col min="8" max="8" width="1.7109375" style="97" customWidth="1"/>
    <col min="9" max="9" width="13.421875" style="96" customWidth="1"/>
    <col min="10" max="10" width="1.8515625" style="16" customWidth="1"/>
    <col min="11" max="11" width="13.8515625" style="13" bestFit="1" customWidth="1"/>
    <col min="12" max="12" width="1.8515625" style="16" customWidth="1"/>
    <col min="13" max="13" width="13.28125" style="13" customWidth="1"/>
    <col min="14" max="14" width="1.8515625" style="16" customWidth="1"/>
    <col min="15" max="15" width="16.421875" style="13" bestFit="1" customWidth="1"/>
    <col min="16" max="16" width="1.8515625" style="16" customWidth="1"/>
    <col min="17" max="17" width="13.421875" style="13" customWidth="1"/>
    <col min="18" max="18" width="1.57421875" style="16" customWidth="1"/>
    <col min="19" max="19" width="13.57421875" style="13" customWidth="1"/>
    <col min="20" max="20" width="13.7109375" style="13" bestFit="1" customWidth="1"/>
    <col min="21" max="21" width="1.421875" style="16" customWidth="1"/>
    <col min="22" max="22" width="9.8515625" style="13" bestFit="1" customWidth="1"/>
    <col min="23" max="23" width="1.7109375" style="16" customWidth="1"/>
    <col min="24" max="24" width="10.8515625" style="13" customWidth="1"/>
    <col min="25" max="25" width="1.7109375" style="16" customWidth="1"/>
    <col min="26" max="26" width="13.7109375" style="13" customWidth="1"/>
    <col min="27" max="28" width="1.8515625" style="16" customWidth="1"/>
    <col min="29" max="30" width="15.57421875" style="13" customWidth="1"/>
    <col min="31" max="31" width="15.7109375" style="13" customWidth="1"/>
    <col min="32" max="32" width="1.28515625" style="16" customWidth="1"/>
    <col min="33" max="33" width="15.8515625" style="13" customWidth="1"/>
    <col min="34" max="34" width="17.57421875" style="13" customWidth="1"/>
    <col min="35" max="35" width="1.8515625" style="13" customWidth="1"/>
    <col min="36" max="36" width="14.28125" style="13" customWidth="1"/>
    <col min="37" max="37" width="15.28125" style="13" customWidth="1"/>
    <col min="38" max="38" width="15.00390625" style="16" customWidth="1"/>
    <col min="39" max="39" width="1.8515625" style="16" customWidth="1"/>
    <col min="40" max="40" width="15.421875" style="16" customWidth="1"/>
    <col min="41" max="41" width="2.7109375" style="16" customWidth="1"/>
    <col min="42" max="42" width="15.8515625" style="16" customWidth="1"/>
    <col min="43" max="43" width="2.28125" style="13" customWidth="1"/>
    <col min="44" max="44" width="15.00390625" style="16" customWidth="1"/>
    <col min="45" max="45" width="1.57421875" style="16" customWidth="1"/>
    <col min="46" max="46" width="15.140625" style="16" customWidth="1"/>
    <col min="47" max="47" width="1.57421875" style="16" customWidth="1"/>
    <col min="48" max="48" width="15.57421875" style="16" customWidth="1"/>
    <col min="49" max="49" width="2.8515625" style="16" customWidth="1"/>
    <col min="50" max="50" width="15.00390625" style="16" customWidth="1"/>
    <col min="51" max="51" width="2.00390625" style="16" customWidth="1"/>
    <col min="52" max="52" width="17.8515625" style="16" customWidth="1"/>
    <col min="53" max="53" width="2.8515625" style="16" customWidth="1"/>
    <col min="54" max="54" width="15.57421875" style="16" customWidth="1"/>
    <col min="55" max="55" width="2.8515625" style="16" customWidth="1"/>
    <col min="56" max="56" width="10.8515625" style="16" bestFit="1" customWidth="1"/>
    <col min="57" max="57" width="2.140625" style="16" customWidth="1"/>
    <col min="58" max="58" width="12.8515625" style="13" customWidth="1"/>
    <col min="59" max="59" width="1.57421875" style="16" customWidth="1"/>
    <col min="60" max="60" width="17.8515625" style="19" bestFit="1" customWidth="1"/>
    <col min="61" max="61" width="1.421875" style="25" customWidth="1"/>
    <col min="62" max="62" width="14.140625" style="19" bestFit="1" customWidth="1"/>
    <col min="63" max="63" width="1.8515625" style="25" customWidth="1"/>
    <col min="64" max="64" width="12.00390625" style="13" bestFit="1" customWidth="1"/>
    <col min="65" max="65" width="2.00390625" style="16" customWidth="1"/>
    <col min="66" max="66" width="19.00390625" style="16" bestFit="1" customWidth="1"/>
    <col min="67" max="67" width="2.00390625" style="16" customWidth="1"/>
    <col min="68" max="68" width="15.00390625" style="13" bestFit="1" customWidth="1"/>
    <col min="69" max="69" width="2.00390625" style="16" customWidth="1"/>
    <col min="70" max="70" width="12.421875" style="13" customWidth="1"/>
    <col min="71" max="71" width="2.00390625" style="16" customWidth="1"/>
    <col min="72" max="72" width="13.421875" style="16" customWidth="1"/>
    <col min="73" max="73" width="14.7109375" style="16" customWidth="1"/>
    <col min="74" max="74" width="2.00390625" style="16" customWidth="1"/>
    <col min="75" max="75" width="15.8515625" style="13" bestFit="1" customWidth="1"/>
    <col min="76" max="76" width="2.00390625" style="16" customWidth="1"/>
    <col min="77" max="77" width="23.7109375" style="13" bestFit="1" customWidth="1"/>
    <col min="78" max="78" width="1.57421875" style="16" customWidth="1"/>
    <col min="79" max="79" width="14.7109375" style="13" customWidth="1"/>
    <col min="80" max="80" width="1.57421875" style="16" customWidth="1"/>
    <col min="81" max="81" width="13.28125" style="13" customWidth="1"/>
    <col min="82" max="82" width="1.57421875" style="16" customWidth="1"/>
    <col min="83" max="83" width="12.8515625" style="16" customWidth="1"/>
    <col min="84" max="84" width="2.8515625" style="16" customWidth="1"/>
    <col min="85" max="85" width="13.421875" style="13" customWidth="1"/>
    <col min="86" max="86" width="1.57421875" style="16" customWidth="1"/>
    <col min="87" max="87" width="14.00390625" style="13" bestFit="1" customWidth="1"/>
    <col min="88" max="88" width="1.1484375" style="16" customWidth="1"/>
    <col min="89" max="89" width="14.00390625" style="13" customWidth="1"/>
    <col min="90" max="90" width="14.8515625" style="13" bestFit="1" customWidth="1"/>
    <col min="91" max="91" width="1.421875" style="16" customWidth="1"/>
    <col min="92" max="92" width="16.28125" style="13" customWidth="1"/>
    <col min="93" max="93" width="1.421875" style="16" customWidth="1"/>
    <col min="94" max="94" width="12.421875" style="13" bestFit="1" customWidth="1"/>
    <col min="95" max="95" width="1.57421875" style="13" customWidth="1"/>
    <col min="96" max="96" width="15.57421875" style="13" customWidth="1"/>
    <col min="97" max="97" width="1.57421875" style="13" customWidth="1"/>
    <col min="98" max="98" width="14.140625" style="13" customWidth="1"/>
    <col min="99" max="99" width="1.28515625" style="16" customWidth="1"/>
    <col min="100" max="100" width="15.421875" style="16" customWidth="1"/>
    <col min="101" max="101" width="1.7109375" style="16" customWidth="1"/>
    <col min="102" max="102" width="15.57421875" style="13" customWidth="1"/>
    <col min="103" max="103" width="14.140625" style="13" customWidth="1"/>
    <col min="104" max="104" width="1.1484375" style="16" customWidth="1"/>
    <col min="105" max="105" width="15.28125" style="13" bestFit="1" customWidth="1"/>
    <col min="106" max="106" width="0.9921875" style="16" customWidth="1"/>
    <col min="107" max="107" width="14.28125" style="13" bestFit="1" customWidth="1"/>
    <col min="108" max="108" width="1.1484375" style="16" customWidth="1"/>
    <col min="109" max="109" width="14.00390625" style="13" customWidth="1"/>
    <col min="110" max="110" width="1.28515625" style="16" customWidth="1"/>
    <col min="111" max="111" width="13.140625" style="13" customWidth="1"/>
    <col min="112" max="112" width="1.57421875" style="16" customWidth="1"/>
    <col min="113" max="113" width="13.57421875" style="13" customWidth="1"/>
    <col min="114" max="114" width="0.9921875" style="16" customWidth="1"/>
    <col min="115" max="115" width="13.57421875" style="13" customWidth="1"/>
    <col min="116" max="116" width="1.57421875" style="16" customWidth="1"/>
    <col min="117" max="118" width="12.8515625" style="13" customWidth="1"/>
    <col min="119" max="119" width="1.8515625" style="16" customWidth="1"/>
    <col min="120" max="120" width="12.140625" style="13" customWidth="1"/>
    <col min="121" max="121" width="2.421875" style="16" customWidth="1"/>
    <col min="122" max="122" width="27.7109375" style="16" bestFit="1" customWidth="1"/>
    <col min="123" max="123" width="2.421875" style="16" customWidth="1"/>
    <col min="124" max="124" width="15.57421875" style="16" bestFit="1" customWidth="1"/>
    <col min="125" max="125" width="2.00390625" style="16" customWidth="1"/>
    <col min="126" max="126" width="21.28125" style="13" bestFit="1" customWidth="1"/>
    <col min="127" max="127" width="2.57421875" style="16" customWidth="1"/>
    <col min="128" max="128" width="11.8515625" style="98" bestFit="1" customWidth="1"/>
    <col min="129" max="129" width="3.00390625" style="16" customWidth="1"/>
    <col min="130" max="130" width="16.28125" style="16" customWidth="1"/>
    <col min="131" max="131" width="14.57421875" style="16" customWidth="1"/>
    <col min="132" max="132" width="14.421875" style="96" customWidth="1"/>
    <col min="133" max="134" width="16.7109375" style="16" customWidth="1"/>
    <col min="135" max="135" width="12.28125" style="13" customWidth="1"/>
    <col min="136" max="136" width="15.421875" style="13" customWidth="1"/>
    <col min="137" max="139" width="16.7109375" style="16" customWidth="1"/>
    <col min="140" max="140" width="17.7109375" style="13" customWidth="1"/>
    <col min="141" max="141" width="13.00390625" style="126" customWidth="1"/>
    <col min="142" max="142" width="14.28125" style="13" customWidth="1"/>
    <col min="143" max="16384" width="9.140625" style="13" customWidth="1"/>
  </cols>
  <sheetData>
    <row r="1" spans="1:132" ht="25.5">
      <c r="A1" s="42" t="s">
        <v>306</v>
      </c>
      <c r="B1" s="42"/>
      <c r="C1" s="275"/>
      <c r="D1" s="275"/>
      <c r="E1" s="275"/>
      <c r="F1" s="275"/>
      <c r="G1" s="275"/>
      <c r="H1" s="275"/>
      <c r="I1" s="275"/>
      <c r="J1" s="42"/>
      <c r="K1" s="42"/>
      <c r="L1" s="42"/>
      <c r="M1" s="42"/>
      <c r="N1" s="42"/>
      <c r="O1" s="42"/>
      <c r="P1" s="42"/>
      <c r="Q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CE1" s="32"/>
      <c r="CX1" s="3"/>
      <c r="CY1" s="3"/>
      <c r="CZ1" s="5"/>
      <c r="DA1" s="3"/>
      <c r="DB1" s="5"/>
      <c r="DC1" s="3"/>
      <c r="DD1" s="5"/>
      <c r="DZ1" s="138" t="s">
        <v>179</v>
      </c>
      <c r="EA1" s="138"/>
      <c r="EB1" s="138"/>
    </row>
    <row r="2" spans="1:133" ht="13.5">
      <c r="A2" s="44" t="s">
        <v>0</v>
      </c>
      <c r="B2" s="44"/>
      <c r="C2" s="276"/>
      <c r="D2" s="276"/>
      <c r="E2" s="276"/>
      <c r="F2" s="277"/>
      <c r="G2" s="276"/>
      <c r="H2" s="277"/>
      <c r="I2" s="276"/>
      <c r="J2" s="43"/>
      <c r="K2" s="44"/>
      <c r="L2" s="43"/>
      <c r="M2" s="44"/>
      <c r="N2" s="43"/>
      <c r="O2" s="44"/>
      <c r="P2" s="43"/>
      <c r="Q2" s="44"/>
      <c r="AB2" s="43"/>
      <c r="BJ2" s="20"/>
      <c r="CX2" s="3"/>
      <c r="CY2" s="3"/>
      <c r="CZ2" s="5"/>
      <c r="DA2" s="3"/>
      <c r="DB2" s="5"/>
      <c r="DC2" s="3"/>
      <c r="DD2" s="5"/>
      <c r="EC2" s="32"/>
    </row>
    <row r="3" spans="1:141" s="4" customFormat="1" ht="13.5">
      <c r="A3" s="46" t="s">
        <v>608</v>
      </c>
      <c r="B3" s="46"/>
      <c r="C3" s="278"/>
      <c r="D3" s="278"/>
      <c r="E3" s="278"/>
      <c r="F3" s="279"/>
      <c r="G3" s="278"/>
      <c r="H3" s="279"/>
      <c r="I3" s="278"/>
      <c r="J3" s="45"/>
      <c r="K3" s="46"/>
      <c r="L3" s="45"/>
      <c r="M3" s="46"/>
      <c r="N3" s="45"/>
      <c r="O3" s="46"/>
      <c r="P3" s="45"/>
      <c r="Q3" s="46"/>
      <c r="R3" s="5"/>
      <c r="S3" s="48"/>
      <c r="T3" s="48"/>
      <c r="U3" s="47"/>
      <c r="V3" s="48"/>
      <c r="W3" s="47"/>
      <c r="X3" s="48"/>
      <c r="Y3" s="47"/>
      <c r="Z3" s="48"/>
      <c r="AA3" s="47"/>
      <c r="AB3" s="45"/>
      <c r="AC3" s="48"/>
      <c r="AD3" s="48"/>
      <c r="AE3" s="48"/>
      <c r="AF3" s="47"/>
      <c r="AL3" s="27"/>
      <c r="AM3" s="27"/>
      <c r="AN3" s="27"/>
      <c r="AO3" s="27"/>
      <c r="AP3" s="27"/>
      <c r="AQ3" s="64"/>
      <c r="AR3" s="30"/>
      <c r="AS3" s="30"/>
      <c r="AU3" s="30"/>
      <c r="AV3" s="30"/>
      <c r="AW3" s="30"/>
      <c r="AY3" s="30"/>
      <c r="AZ3" s="5"/>
      <c r="BA3" s="30"/>
      <c r="BC3" s="30"/>
      <c r="BD3" s="30"/>
      <c r="BE3" s="30"/>
      <c r="BF3" s="38"/>
      <c r="BG3" s="38"/>
      <c r="BI3" s="27"/>
      <c r="BJ3" s="3"/>
      <c r="BK3" s="5"/>
      <c r="BL3" s="3"/>
      <c r="BM3" s="5"/>
      <c r="BN3" s="5"/>
      <c r="BO3" s="5"/>
      <c r="BP3" s="48"/>
      <c r="BQ3" s="47"/>
      <c r="BR3" s="3"/>
      <c r="BS3" s="5"/>
      <c r="BT3" s="5"/>
      <c r="BU3" s="5"/>
      <c r="BV3" s="5"/>
      <c r="BW3" s="3"/>
      <c r="BX3" s="5"/>
      <c r="BY3" s="3"/>
      <c r="BZ3" s="5"/>
      <c r="CA3" s="3"/>
      <c r="CB3" s="5"/>
      <c r="CC3" s="3"/>
      <c r="CD3" s="5"/>
      <c r="CE3" s="5"/>
      <c r="CF3" s="5"/>
      <c r="CG3" s="48"/>
      <c r="CH3" s="5"/>
      <c r="CI3" s="48"/>
      <c r="CJ3" s="47"/>
      <c r="CK3" s="48"/>
      <c r="CL3" s="48"/>
      <c r="CM3" s="47"/>
      <c r="CN3" s="48"/>
      <c r="CO3" s="47"/>
      <c r="CP3" s="48"/>
      <c r="CQ3" s="48"/>
      <c r="CR3" s="48"/>
      <c r="CS3" s="48"/>
      <c r="CT3" s="48"/>
      <c r="CU3" s="47"/>
      <c r="CV3" s="47"/>
      <c r="CW3" s="47"/>
      <c r="CX3" s="2"/>
      <c r="CY3" s="2"/>
      <c r="CZ3" s="2"/>
      <c r="DA3" s="2"/>
      <c r="DB3" s="2"/>
      <c r="DC3" s="2"/>
      <c r="DD3" s="2"/>
      <c r="DE3" s="48"/>
      <c r="DF3" s="47"/>
      <c r="DG3" s="48"/>
      <c r="DH3" s="47"/>
      <c r="DI3" s="48"/>
      <c r="DJ3" s="47"/>
      <c r="DK3" s="48"/>
      <c r="DL3" s="47"/>
      <c r="DM3" s="48"/>
      <c r="DN3" s="48"/>
      <c r="DO3" s="47"/>
      <c r="DP3" s="48"/>
      <c r="DQ3" s="47"/>
      <c r="DR3" s="47"/>
      <c r="DS3" s="47"/>
      <c r="DT3" s="47"/>
      <c r="DU3" s="47"/>
      <c r="DV3" s="48"/>
      <c r="DW3" s="47"/>
      <c r="DX3" s="79"/>
      <c r="DY3" s="47"/>
      <c r="DZ3" s="47"/>
      <c r="EB3" s="139"/>
      <c r="EE3" s="38"/>
      <c r="EF3" s="38"/>
      <c r="EG3" s="38"/>
      <c r="EH3" s="38"/>
      <c r="EI3" s="38"/>
      <c r="EK3" s="180"/>
    </row>
    <row r="4" spans="1:141" s="4" customFormat="1" ht="13.5">
      <c r="A4" s="48"/>
      <c r="B4" s="310" t="s">
        <v>227</v>
      </c>
      <c r="C4" s="310"/>
      <c r="D4" s="310"/>
      <c r="E4" s="310"/>
      <c r="F4" s="310"/>
      <c r="G4" s="310"/>
      <c r="H4" s="310"/>
      <c r="I4" s="310"/>
      <c r="J4" s="310"/>
      <c r="K4" s="310"/>
      <c r="L4" s="310"/>
      <c r="M4" s="310"/>
      <c r="N4" s="310"/>
      <c r="O4" s="310"/>
      <c r="P4" s="310"/>
      <c r="Q4" s="310"/>
      <c r="R4" s="310"/>
      <c r="S4" s="310"/>
      <c r="T4" s="310"/>
      <c r="U4" s="310"/>
      <c r="V4" s="310"/>
      <c r="W4" s="310"/>
      <c r="X4" s="310"/>
      <c r="Y4" s="310"/>
      <c r="Z4" s="310"/>
      <c r="AA4" s="5"/>
      <c r="AB4" s="47"/>
      <c r="AC4" s="310" t="s">
        <v>219</v>
      </c>
      <c r="AD4" s="310"/>
      <c r="AE4" s="310"/>
      <c r="AF4" s="310"/>
      <c r="AG4" s="310"/>
      <c r="AH4" s="310"/>
      <c r="AI4" s="310"/>
      <c r="AJ4" s="310"/>
      <c r="AK4" s="310"/>
      <c r="AL4" s="310"/>
      <c r="AM4" s="310"/>
      <c r="AN4" s="310"/>
      <c r="AO4" s="310"/>
      <c r="AP4" s="310"/>
      <c r="AQ4" s="310"/>
      <c r="AR4" s="310"/>
      <c r="AS4" s="310"/>
      <c r="AT4" s="310"/>
      <c r="AU4" s="310"/>
      <c r="AV4" s="310"/>
      <c r="AW4" s="310"/>
      <c r="AX4" s="310"/>
      <c r="AY4" s="310"/>
      <c r="AZ4" s="310"/>
      <c r="BA4" s="310"/>
      <c r="BB4" s="310"/>
      <c r="BC4" s="27"/>
      <c r="BD4" s="310" t="s">
        <v>293</v>
      </c>
      <c r="BE4" s="310"/>
      <c r="BF4" s="310"/>
      <c r="BG4" s="310"/>
      <c r="BH4" s="310"/>
      <c r="BI4" s="5"/>
      <c r="BJ4" s="310" t="s">
        <v>481</v>
      </c>
      <c r="BK4" s="310"/>
      <c r="BL4" s="310"/>
      <c r="BM4" s="310"/>
      <c r="BN4" s="310"/>
      <c r="BO4" s="5"/>
      <c r="BP4" s="310" t="s">
        <v>299</v>
      </c>
      <c r="BQ4" s="310"/>
      <c r="BR4" s="310"/>
      <c r="BS4" s="310"/>
      <c r="BT4" s="310"/>
      <c r="BU4" s="310"/>
      <c r="BV4" s="310"/>
      <c r="BW4" s="310"/>
      <c r="BX4" s="5"/>
      <c r="BY4" s="6" t="s">
        <v>482</v>
      </c>
      <c r="BZ4" s="5"/>
      <c r="CA4" s="310" t="s">
        <v>483</v>
      </c>
      <c r="CB4" s="310"/>
      <c r="CC4" s="310"/>
      <c r="CD4" s="310"/>
      <c r="CE4" s="310"/>
      <c r="CF4" s="310"/>
      <c r="CG4" s="310"/>
      <c r="CH4" s="38"/>
      <c r="CI4" s="310" t="s">
        <v>243</v>
      </c>
      <c r="CJ4" s="310"/>
      <c r="CK4" s="310"/>
      <c r="CL4" s="310"/>
      <c r="CM4" s="310"/>
      <c r="CN4" s="310"/>
      <c r="CO4" s="310"/>
      <c r="CP4" s="310"/>
      <c r="CQ4" s="310"/>
      <c r="CR4" s="310"/>
      <c r="CS4" s="310"/>
      <c r="CT4" s="310"/>
      <c r="CU4" s="310"/>
      <c r="CV4" s="310"/>
      <c r="CW4" s="5"/>
      <c r="CX4" s="310" t="s">
        <v>229</v>
      </c>
      <c r="CY4" s="310"/>
      <c r="CZ4" s="310"/>
      <c r="DA4" s="310"/>
      <c r="DB4" s="310"/>
      <c r="DC4" s="310"/>
      <c r="DD4" s="310"/>
      <c r="DE4" s="310"/>
      <c r="DF4" s="5"/>
      <c r="DG4" s="310" t="s">
        <v>239</v>
      </c>
      <c r="DH4" s="310"/>
      <c r="DI4" s="310"/>
      <c r="DJ4" s="310"/>
      <c r="DK4" s="310"/>
      <c r="DL4" s="310"/>
      <c r="DM4" s="310"/>
      <c r="DN4" s="310"/>
      <c r="DO4" s="310"/>
      <c r="DP4" s="310"/>
      <c r="DQ4" s="2"/>
      <c r="DR4" s="39" t="s">
        <v>488</v>
      </c>
      <c r="DS4" s="2"/>
      <c r="DT4" s="254" t="s">
        <v>491</v>
      </c>
      <c r="DU4" s="2"/>
      <c r="DV4" s="39" t="s">
        <v>490</v>
      </c>
      <c r="DW4" s="62"/>
      <c r="DX4" s="79"/>
      <c r="DY4" s="47"/>
      <c r="DZ4" s="47"/>
      <c r="EA4" s="27"/>
      <c r="EB4" s="80"/>
      <c r="EC4" s="38"/>
      <c r="ED4" s="38"/>
      <c r="EE4" s="310" t="s">
        <v>166</v>
      </c>
      <c r="EF4" s="310"/>
      <c r="EG4" s="38"/>
      <c r="EH4" s="38"/>
      <c r="EI4" s="5"/>
      <c r="EJ4" s="27"/>
      <c r="EK4" s="311" t="s">
        <v>260</v>
      </c>
    </row>
    <row r="5" spans="2:141" s="27" customFormat="1" ht="13.5" customHeight="1">
      <c r="B5" s="313" t="s">
        <v>73</v>
      </c>
      <c r="C5" s="313"/>
      <c r="D5" s="80"/>
      <c r="E5" s="81" t="s">
        <v>78</v>
      </c>
      <c r="F5" s="81"/>
      <c r="G5" s="82" t="s">
        <v>87</v>
      </c>
      <c r="H5" s="81"/>
      <c r="I5" s="82" t="s">
        <v>456</v>
      </c>
      <c r="J5" s="2"/>
      <c r="K5" s="2" t="s">
        <v>225</v>
      </c>
      <c r="L5" s="2"/>
      <c r="M5" s="2" t="s">
        <v>174</v>
      </c>
      <c r="N5" s="2"/>
      <c r="O5" s="2" t="s">
        <v>174</v>
      </c>
      <c r="P5" s="2"/>
      <c r="Q5" s="2"/>
      <c r="R5" s="1"/>
      <c r="S5" s="310" t="s">
        <v>206</v>
      </c>
      <c r="T5" s="310"/>
      <c r="U5" s="2"/>
      <c r="V5" s="2" t="s">
        <v>89</v>
      </c>
      <c r="W5" s="2"/>
      <c r="X5" s="2" t="s">
        <v>91</v>
      </c>
      <c r="Y5" s="1"/>
      <c r="Z5" s="2" t="s">
        <v>93</v>
      </c>
      <c r="AA5" s="1"/>
      <c r="AB5" s="2"/>
      <c r="AC5" s="310" t="s">
        <v>1</v>
      </c>
      <c r="AD5" s="310"/>
      <c r="AE5" s="310"/>
      <c r="AF5" s="62"/>
      <c r="AG5" s="309" t="s">
        <v>5</v>
      </c>
      <c r="AH5" s="309"/>
      <c r="AI5" s="40"/>
      <c r="AJ5" s="310" t="s">
        <v>6</v>
      </c>
      <c r="AK5" s="310"/>
      <c r="AL5" s="310"/>
      <c r="AM5" s="5"/>
      <c r="AO5" s="5"/>
      <c r="AP5" s="3" t="s">
        <v>119</v>
      </c>
      <c r="AQ5" s="38"/>
      <c r="AR5" s="2" t="s">
        <v>115</v>
      </c>
      <c r="AS5" s="2"/>
      <c r="AT5" s="2"/>
      <c r="AU5" s="2"/>
      <c r="AV5" s="2" t="s">
        <v>265</v>
      </c>
      <c r="AW5" s="2"/>
      <c r="AX5" s="5" t="s">
        <v>191</v>
      </c>
      <c r="AY5" s="2"/>
      <c r="AZ5" s="2" t="s">
        <v>478</v>
      </c>
      <c r="BA5" s="2"/>
      <c r="BB5" s="2" t="s">
        <v>500</v>
      </c>
      <c r="BC5" s="2"/>
      <c r="BD5" s="2" t="s">
        <v>128</v>
      </c>
      <c r="BE5" s="2"/>
      <c r="BF5" s="2" t="s">
        <v>147</v>
      </c>
      <c r="BG5" s="40"/>
      <c r="BH5" s="5" t="s">
        <v>127</v>
      </c>
      <c r="BI5" s="28"/>
      <c r="BJ5" s="5" t="s">
        <v>81</v>
      </c>
      <c r="BK5" s="5"/>
      <c r="BL5" s="1" t="s">
        <v>82</v>
      </c>
      <c r="BM5" s="1"/>
      <c r="BN5" s="2" t="s">
        <v>480</v>
      </c>
      <c r="BO5" s="1"/>
      <c r="BR5" s="2" t="s">
        <v>83</v>
      </c>
      <c r="BS5" s="1"/>
      <c r="BT5" s="309" t="s">
        <v>160</v>
      </c>
      <c r="BU5" s="309"/>
      <c r="BV5" s="1"/>
      <c r="BW5" s="2" t="s">
        <v>270</v>
      </c>
      <c r="BX5" s="1"/>
      <c r="BY5" s="2" t="s">
        <v>85</v>
      </c>
      <c r="BZ5" s="1"/>
      <c r="CA5" s="309" t="s">
        <v>164</v>
      </c>
      <c r="CB5" s="309"/>
      <c r="CC5" s="309"/>
      <c r="CD5" s="1"/>
      <c r="CE5" s="2" t="s">
        <v>154</v>
      </c>
      <c r="CF5" s="2"/>
      <c r="CG5" s="2" t="s">
        <v>95</v>
      </c>
      <c r="CH5" s="1"/>
      <c r="CI5" s="5" t="s">
        <v>97</v>
      </c>
      <c r="CJ5" s="5"/>
      <c r="CK5" s="310" t="s">
        <v>124</v>
      </c>
      <c r="CL5" s="310"/>
      <c r="CM5" s="28"/>
      <c r="CN5" s="5" t="s">
        <v>485</v>
      </c>
      <c r="CP5" s="5" t="s">
        <v>99</v>
      </c>
      <c r="CQ5" s="5"/>
      <c r="CR5" s="5" t="s">
        <v>199</v>
      </c>
      <c r="CS5" s="5"/>
      <c r="CT5" s="5" t="s">
        <v>203</v>
      </c>
      <c r="CU5" s="28"/>
      <c r="CV5" s="5" t="s">
        <v>201</v>
      </c>
      <c r="CW5" s="5"/>
      <c r="CX5" s="310" t="s">
        <v>101</v>
      </c>
      <c r="CY5" s="310"/>
      <c r="CZ5" s="28"/>
      <c r="DA5" s="5" t="s">
        <v>102</v>
      </c>
      <c r="DB5" s="5"/>
      <c r="DC5" s="5" t="s">
        <v>118</v>
      </c>
      <c r="DD5" s="5"/>
      <c r="DE5" s="2" t="s">
        <v>149</v>
      </c>
      <c r="DF5" s="2"/>
      <c r="DG5" s="2" t="s">
        <v>104</v>
      </c>
      <c r="DH5" s="2"/>
      <c r="DI5" s="2" t="s">
        <v>106</v>
      </c>
      <c r="DJ5" s="2"/>
      <c r="DK5" s="2" t="s">
        <v>487</v>
      </c>
      <c r="DL5" s="2"/>
      <c r="DM5" s="309" t="s">
        <v>111</v>
      </c>
      <c r="DN5" s="309"/>
      <c r="DO5" s="40"/>
      <c r="DP5" s="2" t="s">
        <v>112</v>
      </c>
      <c r="DR5" s="314" t="s">
        <v>496</v>
      </c>
      <c r="DT5" s="5" t="s">
        <v>489</v>
      </c>
      <c r="DV5" s="5" t="s">
        <v>170</v>
      </c>
      <c r="DW5" s="131"/>
      <c r="DX5" s="104"/>
      <c r="DY5" s="5"/>
      <c r="DZ5" s="5"/>
      <c r="EA5" s="2" t="s">
        <v>152</v>
      </c>
      <c r="EB5" s="81" t="s">
        <v>154</v>
      </c>
      <c r="EC5" s="2" t="s">
        <v>172</v>
      </c>
      <c r="ED5" s="2" t="s">
        <v>172</v>
      </c>
      <c r="EE5" s="5" t="s">
        <v>167</v>
      </c>
      <c r="EF5" s="5" t="s">
        <v>171</v>
      </c>
      <c r="EG5" s="2" t="s">
        <v>73</v>
      </c>
      <c r="EH5" s="2" t="s">
        <v>77</v>
      </c>
      <c r="EI5" s="2" t="s">
        <v>258</v>
      </c>
      <c r="EJ5" s="2" t="s">
        <v>193</v>
      </c>
      <c r="EK5" s="311"/>
    </row>
    <row r="6" spans="1:141" s="4" customFormat="1" ht="13.5">
      <c r="A6" s="51"/>
      <c r="B6" s="6" t="s">
        <v>74</v>
      </c>
      <c r="C6" s="83" t="s">
        <v>75</v>
      </c>
      <c r="D6" s="81"/>
      <c r="E6" s="83" t="s">
        <v>77</v>
      </c>
      <c r="F6" s="81"/>
      <c r="G6" s="83" t="s">
        <v>88</v>
      </c>
      <c r="H6" s="81"/>
      <c r="I6" s="83" t="s">
        <v>187</v>
      </c>
      <c r="J6" s="5"/>
      <c r="K6" s="39" t="s">
        <v>226</v>
      </c>
      <c r="L6" s="5"/>
      <c r="M6" s="39" t="s">
        <v>175</v>
      </c>
      <c r="N6" s="5"/>
      <c r="O6" s="39" t="s">
        <v>176</v>
      </c>
      <c r="P6" s="5"/>
      <c r="Q6" s="39" t="s">
        <v>4</v>
      </c>
      <c r="R6" s="5"/>
      <c r="S6" s="6" t="s">
        <v>207</v>
      </c>
      <c r="T6" s="6" t="s">
        <v>264</v>
      </c>
      <c r="U6" s="5"/>
      <c r="V6" s="6" t="s">
        <v>90</v>
      </c>
      <c r="W6" s="5"/>
      <c r="X6" s="6" t="s">
        <v>92</v>
      </c>
      <c r="Y6" s="5"/>
      <c r="Z6" s="6" t="s">
        <v>94</v>
      </c>
      <c r="AA6" s="5"/>
      <c r="AB6" s="2"/>
      <c r="AC6" s="59" t="s">
        <v>2</v>
      </c>
      <c r="AD6" s="59" t="s">
        <v>76</v>
      </c>
      <c r="AE6" s="6" t="s">
        <v>9</v>
      </c>
      <c r="AF6" s="5"/>
      <c r="AG6" s="6" t="s">
        <v>69</v>
      </c>
      <c r="AH6" s="6" t="s">
        <v>70</v>
      </c>
      <c r="AI6" s="5"/>
      <c r="AJ6" s="6" t="s">
        <v>72</v>
      </c>
      <c r="AK6" s="6" t="s">
        <v>114</v>
      </c>
      <c r="AL6" s="6" t="s">
        <v>499</v>
      </c>
      <c r="AM6" s="5"/>
      <c r="AN6" s="6" t="s">
        <v>8</v>
      </c>
      <c r="AO6" s="5"/>
      <c r="AP6" s="6" t="s">
        <v>71</v>
      </c>
      <c r="AQ6" s="38"/>
      <c r="AR6" s="6" t="s">
        <v>116</v>
      </c>
      <c r="AS6" s="5"/>
      <c r="AT6" s="6" t="s">
        <v>7</v>
      </c>
      <c r="AU6" s="5"/>
      <c r="AV6" s="6" t="s">
        <v>191</v>
      </c>
      <c r="AW6" s="5"/>
      <c r="AX6" s="6" t="s">
        <v>158</v>
      </c>
      <c r="AY6" s="5"/>
      <c r="AZ6" s="2" t="s">
        <v>479</v>
      </c>
      <c r="BA6" s="5"/>
      <c r="BB6" s="6" t="s">
        <v>224</v>
      </c>
      <c r="BC6" s="5"/>
      <c r="BD6" s="6" t="s">
        <v>129</v>
      </c>
      <c r="BE6" s="5"/>
      <c r="BF6" s="6" t="s">
        <v>303</v>
      </c>
      <c r="BG6" s="5"/>
      <c r="BH6" s="39" t="s">
        <v>79</v>
      </c>
      <c r="BI6" s="2"/>
      <c r="BJ6" s="6" t="s">
        <v>80</v>
      </c>
      <c r="BK6" s="5"/>
      <c r="BL6" s="6" t="s">
        <v>80</v>
      </c>
      <c r="BM6" s="5"/>
      <c r="BN6" s="6" t="s">
        <v>182</v>
      </c>
      <c r="BO6" s="5"/>
      <c r="BP6" s="39" t="s">
        <v>3</v>
      </c>
      <c r="BQ6" s="2"/>
      <c r="BR6" s="6" t="s">
        <v>84</v>
      </c>
      <c r="BS6" s="5"/>
      <c r="BT6" s="6" t="s">
        <v>161</v>
      </c>
      <c r="BU6" s="6" t="s">
        <v>162</v>
      </c>
      <c r="BV6" s="5"/>
      <c r="BW6" s="6" t="s">
        <v>271</v>
      </c>
      <c r="BX6" s="5"/>
      <c r="BY6" s="6" t="s">
        <v>86</v>
      </c>
      <c r="BZ6" s="5"/>
      <c r="CA6" s="6" t="s">
        <v>105</v>
      </c>
      <c r="CB6" s="5"/>
      <c r="CC6" s="6" t="s">
        <v>196</v>
      </c>
      <c r="CD6" s="5"/>
      <c r="CE6" s="6" t="s">
        <v>105</v>
      </c>
      <c r="CF6" s="5"/>
      <c r="CG6" s="6" t="s">
        <v>96</v>
      </c>
      <c r="CH6" s="5"/>
      <c r="CI6" s="39" t="s">
        <v>98</v>
      </c>
      <c r="CJ6" s="2"/>
      <c r="CK6" s="39" t="s">
        <v>125</v>
      </c>
      <c r="CL6" s="39" t="s">
        <v>126</v>
      </c>
      <c r="CM6" s="2"/>
      <c r="CN6" s="6" t="s">
        <v>484</v>
      </c>
      <c r="CO6" s="5"/>
      <c r="CP6" s="39" t="s">
        <v>100</v>
      </c>
      <c r="CQ6" s="2"/>
      <c r="CR6" s="39" t="s">
        <v>200</v>
      </c>
      <c r="CS6" s="2"/>
      <c r="CT6" s="39" t="s">
        <v>204</v>
      </c>
      <c r="CU6" s="2"/>
      <c r="CV6" s="39" t="s">
        <v>486</v>
      </c>
      <c r="CW6" s="2"/>
      <c r="CX6" s="6" t="s">
        <v>120</v>
      </c>
      <c r="CY6" s="6" t="s">
        <v>275</v>
      </c>
      <c r="CZ6" s="5"/>
      <c r="DA6" s="6" t="s">
        <v>103</v>
      </c>
      <c r="DB6" s="5"/>
      <c r="DC6" s="6" t="s">
        <v>117</v>
      </c>
      <c r="DD6" s="5"/>
      <c r="DE6" s="6" t="s">
        <v>150</v>
      </c>
      <c r="DF6" s="5"/>
      <c r="DG6" s="6" t="s">
        <v>105</v>
      </c>
      <c r="DH6" s="5"/>
      <c r="DI6" s="6" t="s">
        <v>107</v>
      </c>
      <c r="DJ6" s="5"/>
      <c r="DK6" s="6" t="s">
        <v>108</v>
      </c>
      <c r="DL6" s="5"/>
      <c r="DM6" s="6" t="s">
        <v>109</v>
      </c>
      <c r="DN6" s="6" t="s">
        <v>110</v>
      </c>
      <c r="DO6" s="5"/>
      <c r="DP6" s="65" t="s">
        <v>113</v>
      </c>
      <c r="DQ6" s="129"/>
      <c r="DR6" s="315"/>
      <c r="DS6" s="129"/>
      <c r="DT6" s="65" t="s">
        <v>178</v>
      </c>
      <c r="DU6" s="129"/>
      <c r="DV6" s="65" t="s">
        <v>169</v>
      </c>
      <c r="DW6" s="129"/>
      <c r="DX6" s="83" t="s">
        <v>9</v>
      </c>
      <c r="DY6" s="5"/>
      <c r="DZ6" s="5"/>
      <c r="EA6" s="5" t="s">
        <v>180</v>
      </c>
      <c r="EB6" s="83" t="s">
        <v>121</v>
      </c>
      <c r="EC6" s="6" t="s">
        <v>156</v>
      </c>
      <c r="ED6" s="6" t="s">
        <v>315</v>
      </c>
      <c r="EE6" s="65" t="s">
        <v>168</v>
      </c>
      <c r="EF6" s="6" t="s">
        <v>173</v>
      </c>
      <c r="EG6" s="6" t="s">
        <v>315</v>
      </c>
      <c r="EH6" s="6" t="s">
        <v>156</v>
      </c>
      <c r="EI6" s="176" t="s">
        <v>257</v>
      </c>
      <c r="EJ6" s="6" t="s">
        <v>194</v>
      </c>
      <c r="EK6" s="312"/>
    </row>
    <row r="7" spans="1:141" s="64" customFormat="1" ht="12.75">
      <c r="A7" s="52" t="s">
        <v>130</v>
      </c>
      <c r="B7" s="53" t="s">
        <v>131</v>
      </c>
      <c r="C7" s="84" t="s">
        <v>131</v>
      </c>
      <c r="D7" s="85"/>
      <c r="E7" s="84" t="s">
        <v>131</v>
      </c>
      <c r="F7" s="85"/>
      <c r="G7" s="86" t="s">
        <v>132</v>
      </c>
      <c r="H7" s="85"/>
      <c r="I7" s="86" t="s">
        <v>145</v>
      </c>
      <c r="J7" s="30"/>
      <c r="K7" s="7" t="s">
        <v>148</v>
      </c>
      <c r="L7" s="30"/>
      <c r="M7" s="7" t="s">
        <v>148</v>
      </c>
      <c r="N7" s="30"/>
      <c r="O7" s="7" t="s">
        <v>148</v>
      </c>
      <c r="P7" s="30"/>
      <c r="Q7" s="7">
        <v>93.712</v>
      </c>
      <c r="R7" s="30"/>
      <c r="S7" s="7">
        <v>93.707</v>
      </c>
      <c r="T7" s="7">
        <v>93.705</v>
      </c>
      <c r="U7" s="30"/>
      <c r="V7" s="7">
        <v>93.713</v>
      </c>
      <c r="W7" s="30"/>
      <c r="X7" s="7">
        <v>93.708</v>
      </c>
      <c r="Y7" s="30"/>
      <c r="Z7" s="7" t="s">
        <v>141</v>
      </c>
      <c r="AA7" s="30"/>
      <c r="AB7" s="29"/>
      <c r="AC7" s="60" t="s">
        <v>188</v>
      </c>
      <c r="AD7" s="60" t="s">
        <v>189</v>
      </c>
      <c r="AE7" s="53" t="s">
        <v>192</v>
      </c>
      <c r="AF7" s="30"/>
      <c r="AG7" s="66">
        <v>84.389</v>
      </c>
      <c r="AH7" s="66">
        <v>84.388</v>
      </c>
      <c r="AI7" s="30"/>
      <c r="AJ7" s="7">
        <v>84.391</v>
      </c>
      <c r="AK7" s="7">
        <v>84.392</v>
      </c>
      <c r="AL7" s="7">
        <v>84.393</v>
      </c>
      <c r="AM7" s="30"/>
      <c r="AN7" s="7">
        <v>84.386</v>
      </c>
      <c r="AO7" s="30"/>
      <c r="AP7" s="7">
        <v>84.387</v>
      </c>
      <c r="AQ7" s="30"/>
      <c r="AR7" s="7" t="s">
        <v>133</v>
      </c>
      <c r="AS7" s="30"/>
      <c r="AT7" s="66">
        <v>84.39</v>
      </c>
      <c r="AU7" s="30"/>
      <c r="AV7" s="63" t="s">
        <v>266</v>
      </c>
      <c r="AW7" s="30"/>
      <c r="AX7" s="7">
        <v>84.398</v>
      </c>
      <c r="AY7" s="30"/>
      <c r="AZ7" s="128" t="s">
        <v>190</v>
      </c>
      <c r="BA7" s="30"/>
      <c r="BB7" s="7">
        <v>84.404</v>
      </c>
      <c r="BC7" s="30"/>
      <c r="BD7" s="7" t="s">
        <v>134</v>
      </c>
      <c r="BE7" s="30"/>
      <c r="BF7" s="7" t="s">
        <v>135</v>
      </c>
      <c r="BG7" s="30"/>
      <c r="BH7" s="7" t="s">
        <v>135</v>
      </c>
      <c r="BI7" s="29"/>
      <c r="BJ7" s="7" t="s">
        <v>136</v>
      </c>
      <c r="BK7" s="30"/>
      <c r="BL7" s="7" t="s">
        <v>137</v>
      </c>
      <c r="BM7" s="30"/>
      <c r="BN7" s="63" t="s">
        <v>183</v>
      </c>
      <c r="BO7" s="30"/>
      <c r="BP7" s="7" t="s">
        <v>138</v>
      </c>
      <c r="BQ7" s="29"/>
      <c r="BR7" s="7">
        <v>81.041</v>
      </c>
      <c r="BS7" s="30"/>
      <c r="BT7" s="308" t="s">
        <v>163</v>
      </c>
      <c r="BU7" s="308"/>
      <c r="BV7" s="30"/>
      <c r="BW7" s="7"/>
      <c r="BX7" s="30"/>
      <c r="BY7" s="7" t="s">
        <v>139</v>
      </c>
      <c r="BZ7" s="30"/>
      <c r="CA7" s="7">
        <v>10.568</v>
      </c>
      <c r="CB7" s="30"/>
      <c r="CC7" s="7">
        <v>10.569</v>
      </c>
      <c r="CD7" s="30"/>
      <c r="CE7" s="7" t="s">
        <v>140</v>
      </c>
      <c r="CF7" s="30"/>
      <c r="CG7" s="7">
        <v>10.555</v>
      </c>
      <c r="CH7" s="30"/>
      <c r="CI7" s="7">
        <v>14.885</v>
      </c>
      <c r="CJ7" s="29"/>
      <c r="CK7" s="7">
        <v>14.253</v>
      </c>
      <c r="CL7" s="7">
        <v>14.228</v>
      </c>
      <c r="CM7" s="29"/>
      <c r="CN7" s="7">
        <v>14.258</v>
      </c>
      <c r="CO7" s="30"/>
      <c r="CP7" s="7">
        <v>14.257</v>
      </c>
      <c r="CQ7" s="26"/>
      <c r="CR7" s="136">
        <v>14.317</v>
      </c>
      <c r="CS7" s="26"/>
      <c r="CT7" s="136" t="s">
        <v>205</v>
      </c>
      <c r="CU7" s="29"/>
      <c r="CV7" s="128" t="s">
        <v>202</v>
      </c>
      <c r="CW7" s="29"/>
      <c r="CX7" s="7">
        <v>16.801</v>
      </c>
      <c r="CY7" s="7">
        <v>16.802</v>
      </c>
      <c r="CZ7" s="30"/>
      <c r="DA7" s="53" t="s">
        <v>198</v>
      </c>
      <c r="DB7" s="30"/>
      <c r="DC7" s="7">
        <v>16.588</v>
      </c>
      <c r="DD7" s="30"/>
      <c r="DE7" s="7">
        <v>16.803</v>
      </c>
      <c r="DF7" s="30"/>
      <c r="DG7" s="7">
        <v>17.225</v>
      </c>
      <c r="DH7" s="30"/>
      <c r="DI7" s="7">
        <v>17.207</v>
      </c>
      <c r="DJ7" s="30"/>
      <c r="DK7" s="7">
        <v>17.235</v>
      </c>
      <c r="DL7" s="30"/>
      <c r="DM7" s="60" t="s">
        <v>142</v>
      </c>
      <c r="DN7" s="53" t="s">
        <v>143</v>
      </c>
      <c r="DO7" s="30"/>
      <c r="DP7" s="66">
        <v>17.26</v>
      </c>
      <c r="DQ7" s="26"/>
      <c r="DR7" s="53" t="s">
        <v>298</v>
      </c>
      <c r="DS7" s="26"/>
      <c r="DT7" s="136">
        <v>45.025</v>
      </c>
      <c r="DU7" s="26"/>
      <c r="DV7" s="7">
        <v>64.005</v>
      </c>
      <c r="DW7" s="26"/>
      <c r="DX7" s="107"/>
      <c r="DY7" s="30"/>
      <c r="DZ7" s="30"/>
      <c r="EA7" s="63" t="s">
        <v>153</v>
      </c>
      <c r="EB7" s="112" t="s">
        <v>144</v>
      </c>
      <c r="EC7" s="7" t="s">
        <v>140</v>
      </c>
      <c r="ED7" s="7" t="s">
        <v>140</v>
      </c>
      <c r="EE7" s="7"/>
      <c r="EF7" s="7"/>
      <c r="EG7" s="175" t="s">
        <v>131</v>
      </c>
      <c r="EH7" s="175" t="s">
        <v>131</v>
      </c>
      <c r="EI7" s="175"/>
      <c r="EJ7" s="175" t="s">
        <v>145</v>
      </c>
      <c r="EK7" s="181"/>
    </row>
    <row r="8" spans="1:141" ht="12.75" hidden="1">
      <c r="A8" s="54" t="s">
        <v>10</v>
      </c>
      <c r="B8" s="41">
        <v>354083.748</v>
      </c>
      <c r="C8" s="87">
        <v>495267.68791427615</v>
      </c>
      <c r="D8" s="88"/>
      <c r="E8" s="87">
        <v>15249.567059999983</v>
      </c>
      <c r="F8" s="88"/>
      <c r="G8" s="87">
        <v>2674.356536700001</v>
      </c>
      <c r="H8" s="88"/>
      <c r="I8" s="87">
        <v>16480.588235294115</v>
      </c>
      <c r="J8" s="31"/>
      <c r="K8" s="41">
        <v>13956.035</v>
      </c>
      <c r="L8" s="31"/>
      <c r="M8" s="41">
        <v>3310</v>
      </c>
      <c r="N8" s="31"/>
      <c r="O8" s="41">
        <v>6006.145</v>
      </c>
      <c r="P8" s="31"/>
      <c r="Q8" s="41">
        <v>2985.15</v>
      </c>
      <c r="R8" s="32"/>
      <c r="S8" s="8">
        <v>1023.687</v>
      </c>
      <c r="T8" s="8">
        <v>503.969</v>
      </c>
      <c r="U8" s="32"/>
      <c r="V8" s="8">
        <v>38471</v>
      </c>
      <c r="W8" s="32"/>
      <c r="X8" s="8">
        <f>5238.627+6233.842</f>
        <v>11472.469000000001</v>
      </c>
      <c r="Y8" s="32"/>
      <c r="Z8" s="8">
        <v>18335.466</v>
      </c>
      <c r="AA8" s="32"/>
      <c r="AB8" s="31"/>
      <c r="AC8" s="8">
        <v>596355.871</v>
      </c>
      <c r="AD8" s="8">
        <v>132685.536</v>
      </c>
      <c r="AE8" s="8">
        <f>SUM(AC8:AD8)</f>
        <v>729041.407</v>
      </c>
      <c r="AF8" s="32"/>
      <c r="AG8" s="8">
        <v>162969.217</v>
      </c>
      <c r="AH8" s="187">
        <v>49125.757</v>
      </c>
      <c r="AI8" s="32"/>
      <c r="AJ8" s="8">
        <v>181864.783</v>
      </c>
      <c r="AK8" s="8">
        <v>5969.828</v>
      </c>
      <c r="AL8" s="187">
        <v>6739.356</v>
      </c>
      <c r="AM8" s="31"/>
      <c r="AN8" s="188">
        <v>10451.213</v>
      </c>
      <c r="AO8" s="32"/>
      <c r="AP8" s="8">
        <v>1078.91</v>
      </c>
      <c r="AQ8" s="32"/>
      <c r="AR8" s="32">
        <v>3269.4826502696583</v>
      </c>
      <c r="AS8" s="32"/>
      <c r="AT8" s="8">
        <v>9790.731</v>
      </c>
      <c r="AU8" s="8"/>
      <c r="AV8" s="187">
        <v>1301.122</v>
      </c>
      <c r="AW8" s="8"/>
      <c r="AX8" s="187">
        <v>242.913</v>
      </c>
      <c r="AY8" s="32"/>
      <c r="AZ8" s="189">
        <v>565.407</v>
      </c>
      <c r="BA8" s="32"/>
      <c r="BB8" s="8">
        <v>0</v>
      </c>
      <c r="BC8" s="32"/>
      <c r="BD8" s="8">
        <v>513692</v>
      </c>
      <c r="BE8" s="32"/>
      <c r="BF8" s="8">
        <v>46459.047000000006</v>
      </c>
      <c r="BG8" s="32"/>
      <c r="BH8" s="41">
        <v>0</v>
      </c>
      <c r="BI8" s="31"/>
      <c r="BJ8" s="8">
        <v>19500</v>
      </c>
      <c r="BK8" s="32"/>
      <c r="BL8" s="9">
        <v>44264.2</v>
      </c>
      <c r="BM8" s="32"/>
      <c r="BN8" s="32">
        <v>4086</v>
      </c>
      <c r="BO8" s="32"/>
      <c r="BP8" s="8">
        <v>71800.599</v>
      </c>
      <c r="BQ8" s="32"/>
      <c r="BR8" s="41">
        <v>55570</v>
      </c>
      <c r="BS8" s="31"/>
      <c r="BT8" s="31">
        <v>10350.2</v>
      </c>
      <c r="BU8" s="31">
        <f>31577.9-10350.2</f>
        <v>21227.7</v>
      </c>
      <c r="BV8" s="31"/>
      <c r="BW8" s="8">
        <v>4472.947</v>
      </c>
      <c r="BX8" s="31"/>
      <c r="BY8" s="8">
        <v>1191.635</v>
      </c>
      <c r="BZ8" s="32"/>
      <c r="CA8" s="8">
        <v>800.186</v>
      </c>
      <c r="CB8" s="32"/>
      <c r="CC8" s="8">
        <v>1596.369</v>
      </c>
      <c r="CD8" s="32"/>
      <c r="CE8" s="32">
        <v>5110.51</v>
      </c>
      <c r="CF8" s="32"/>
      <c r="CG8" s="8">
        <v>1956.1</v>
      </c>
      <c r="CH8" s="32"/>
      <c r="CI8" s="8">
        <v>91832.056</v>
      </c>
      <c r="CJ8" s="32"/>
      <c r="CK8" s="8">
        <v>6068.939</v>
      </c>
      <c r="CL8" s="8">
        <v>7049.436</v>
      </c>
      <c r="CM8" s="32"/>
      <c r="CN8" s="8">
        <v>31952.086</v>
      </c>
      <c r="CO8" s="32"/>
      <c r="CP8" s="8">
        <v>20073.696</v>
      </c>
      <c r="CQ8" s="8"/>
      <c r="CR8" s="8">
        <v>33645.688</v>
      </c>
      <c r="CS8" s="8"/>
      <c r="CT8" s="8">
        <v>0</v>
      </c>
      <c r="CU8" s="32"/>
      <c r="CV8" s="8">
        <v>880.662</v>
      </c>
      <c r="CW8" s="32"/>
      <c r="CX8" s="8">
        <v>808</v>
      </c>
      <c r="CY8" s="8">
        <v>847.343</v>
      </c>
      <c r="CZ8" s="32"/>
      <c r="DA8" s="8">
        <v>652.884</v>
      </c>
      <c r="DB8" s="32"/>
      <c r="DC8" s="8">
        <v>2220.871</v>
      </c>
      <c r="DD8" s="32"/>
      <c r="DE8" s="8">
        <v>18711.919</v>
      </c>
      <c r="DF8" s="32"/>
      <c r="DG8" s="68">
        <v>7176.668</v>
      </c>
      <c r="DH8" s="69"/>
      <c r="DI8" s="8">
        <v>5093.106</v>
      </c>
      <c r="DJ8" s="32"/>
      <c r="DK8" s="8">
        <v>439.546</v>
      </c>
      <c r="DL8" s="32"/>
      <c r="DM8" s="8">
        <v>5103.029</v>
      </c>
      <c r="DN8" s="8">
        <v>11647.403</v>
      </c>
      <c r="DO8" s="32"/>
      <c r="DP8" s="8">
        <v>13193.657</v>
      </c>
      <c r="DQ8" s="32"/>
      <c r="DR8" s="32">
        <v>399</v>
      </c>
      <c r="DS8" s="32"/>
      <c r="DT8" s="32">
        <v>312.8</v>
      </c>
      <c r="DU8" s="32"/>
      <c r="DV8" s="8">
        <v>0</v>
      </c>
      <c r="DW8" s="32"/>
      <c r="DX8" s="108">
        <f aca="true" t="shared" si="0" ref="DX8:DX39">SUM(B8:DV8)-AE8</f>
        <v>3202416.277396542</v>
      </c>
      <c r="DY8" s="32"/>
      <c r="DZ8" s="54" t="s">
        <v>10</v>
      </c>
      <c r="EA8" s="32">
        <v>474500</v>
      </c>
      <c r="EB8" s="105">
        <v>389000</v>
      </c>
      <c r="EC8" s="32">
        <v>2542.061</v>
      </c>
      <c r="ED8" s="32">
        <v>2568.449</v>
      </c>
      <c r="EE8" s="8">
        <v>17230.49</v>
      </c>
      <c r="EF8" s="31">
        <v>70</v>
      </c>
      <c r="EG8" s="32">
        <v>96398</v>
      </c>
      <c r="EH8" s="32">
        <v>7559.614</v>
      </c>
      <c r="EI8" s="32">
        <v>0</v>
      </c>
      <c r="EJ8" s="32">
        <v>46657.604</v>
      </c>
      <c r="EK8" s="182">
        <v>9195</v>
      </c>
    </row>
    <row r="9" spans="1:141" ht="12.75" hidden="1">
      <c r="A9" s="54" t="s">
        <v>12</v>
      </c>
      <c r="B9" s="33">
        <v>67606.953</v>
      </c>
      <c r="C9" s="89">
        <v>138683.86180005697</v>
      </c>
      <c r="D9" s="89"/>
      <c r="E9" s="89">
        <v>498.852175</v>
      </c>
      <c r="F9" s="89"/>
      <c r="G9" s="90">
        <v>3179.7218371579997</v>
      </c>
      <c r="H9" s="89"/>
      <c r="I9" s="90">
        <v>6770.823529411765</v>
      </c>
      <c r="J9" s="33"/>
      <c r="K9" s="20">
        <v>9237.707</v>
      </c>
      <c r="L9" s="33"/>
      <c r="M9" s="20">
        <v>1300</v>
      </c>
      <c r="N9" s="33"/>
      <c r="O9" s="20">
        <v>3604.657</v>
      </c>
      <c r="P9" s="33"/>
      <c r="Q9" s="20">
        <v>539.313</v>
      </c>
      <c r="R9" s="18"/>
      <c r="S9" s="61">
        <v>325</v>
      </c>
      <c r="T9" s="61">
        <v>160</v>
      </c>
      <c r="U9" s="18"/>
      <c r="V9" s="9">
        <v>4036</v>
      </c>
      <c r="W9" s="18"/>
      <c r="X9" s="9">
        <f>612.771+625.168</f>
        <v>1237.9389999999999</v>
      </c>
      <c r="Y9" s="18"/>
      <c r="Z9" s="9">
        <v>3692.565</v>
      </c>
      <c r="AA9" s="18"/>
      <c r="AB9" s="33"/>
      <c r="AC9" s="9">
        <v>93043.162</v>
      </c>
      <c r="AD9" s="61">
        <v>20701.535</v>
      </c>
      <c r="AE9" s="61">
        <f aca="true" t="shared" si="1" ref="AE9:AE64">SUM(AC9:AD9)</f>
        <v>113744.697</v>
      </c>
      <c r="AF9" s="37"/>
      <c r="AG9" s="9">
        <v>29449.71</v>
      </c>
      <c r="AH9" s="162">
        <v>9071.222</v>
      </c>
      <c r="AI9" s="18"/>
      <c r="AJ9" s="9">
        <v>32956.419</v>
      </c>
      <c r="AK9" s="9">
        <v>1332.736</v>
      </c>
      <c r="AL9" s="162">
        <v>2398.294</v>
      </c>
      <c r="AM9" s="33"/>
      <c r="AN9" s="145">
        <v>3209.375</v>
      </c>
      <c r="AO9" s="18"/>
      <c r="AP9" s="9">
        <v>225.433</v>
      </c>
      <c r="AQ9" s="18"/>
      <c r="AR9" s="37">
        <v>170.47508011974813</v>
      </c>
      <c r="AS9" s="37"/>
      <c r="AT9" s="9">
        <v>1800</v>
      </c>
      <c r="AU9" s="9"/>
      <c r="AV9" s="162">
        <v>350.357</v>
      </c>
      <c r="AW9" s="9"/>
      <c r="AX9" s="162">
        <v>242.913</v>
      </c>
      <c r="AY9" s="37"/>
      <c r="AZ9" s="67">
        <v>3.17</v>
      </c>
      <c r="BA9" s="37"/>
      <c r="BB9" s="9">
        <v>4432.099</v>
      </c>
      <c r="BC9" s="37"/>
      <c r="BD9" s="9">
        <v>175461</v>
      </c>
      <c r="BE9" s="37"/>
      <c r="BF9" s="9">
        <v>41632.702999999994</v>
      </c>
      <c r="BG9" s="18"/>
      <c r="BH9" s="20">
        <v>0</v>
      </c>
      <c r="BI9" s="33"/>
      <c r="BJ9" s="20">
        <v>19500</v>
      </c>
      <c r="BK9" s="33"/>
      <c r="BL9" s="9">
        <v>23691.9</v>
      </c>
      <c r="BM9" s="18"/>
      <c r="BN9" s="18">
        <v>999</v>
      </c>
      <c r="BO9" s="18"/>
      <c r="BP9" s="9">
        <v>18142.58</v>
      </c>
      <c r="BQ9" s="18"/>
      <c r="BR9" s="20">
        <v>28232</v>
      </c>
      <c r="BS9" s="33"/>
      <c r="BT9" s="33">
        <v>9593.5</v>
      </c>
      <c r="BU9" s="33">
        <f>13969.7-9593.5</f>
        <v>4376.200000000001</v>
      </c>
      <c r="BV9" s="33"/>
      <c r="BW9" s="9">
        <v>658.477</v>
      </c>
      <c r="BX9" s="33"/>
      <c r="BY9" s="9">
        <v>261.474</v>
      </c>
      <c r="BZ9" s="18"/>
      <c r="CA9" s="9">
        <v>103.5</v>
      </c>
      <c r="CB9" s="18"/>
      <c r="CC9" s="9">
        <v>206.484</v>
      </c>
      <c r="CD9" s="18"/>
      <c r="CE9" s="18">
        <v>464.06</v>
      </c>
      <c r="CF9" s="18"/>
      <c r="CG9" s="61">
        <v>286.227</v>
      </c>
      <c r="CH9" s="18"/>
      <c r="CI9" s="9">
        <v>3306.953</v>
      </c>
      <c r="CJ9" s="18"/>
      <c r="CK9" s="9">
        <v>575.248</v>
      </c>
      <c r="CL9" s="9">
        <v>679.936</v>
      </c>
      <c r="CM9" s="18"/>
      <c r="CN9" s="9">
        <v>5490.631</v>
      </c>
      <c r="CO9" s="18"/>
      <c r="CP9" s="9">
        <v>1920.455</v>
      </c>
      <c r="CQ9" s="9"/>
      <c r="CR9" s="9">
        <v>2270.986</v>
      </c>
      <c r="CS9" s="9"/>
      <c r="CT9" s="9">
        <v>0</v>
      </c>
      <c r="CU9" s="18"/>
      <c r="CV9" s="9">
        <v>39991.321</v>
      </c>
      <c r="CW9" s="18"/>
      <c r="CX9" s="9">
        <v>545</v>
      </c>
      <c r="CY9" s="9">
        <v>149.316</v>
      </c>
      <c r="CZ9" s="18"/>
      <c r="DA9" s="9">
        <v>437.265</v>
      </c>
      <c r="DB9" s="18"/>
      <c r="DC9" s="9">
        <v>803.624</v>
      </c>
      <c r="DD9" s="18"/>
      <c r="DE9" s="9">
        <v>5821.018</v>
      </c>
      <c r="DF9" s="18"/>
      <c r="DG9" s="70">
        <v>1115.66</v>
      </c>
      <c r="DH9" s="71"/>
      <c r="DI9" s="9">
        <v>4304.709</v>
      </c>
      <c r="DJ9" s="18"/>
      <c r="DK9" s="9">
        <v>507.317</v>
      </c>
      <c r="DL9" s="18"/>
      <c r="DM9" s="9">
        <v>1679.456</v>
      </c>
      <c r="DN9" s="9">
        <v>3936.018</v>
      </c>
      <c r="DO9" s="18"/>
      <c r="DP9" s="9">
        <v>3546.444</v>
      </c>
      <c r="DQ9" s="18"/>
      <c r="DR9" s="18">
        <v>57</v>
      </c>
      <c r="DS9" s="18"/>
      <c r="DT9" s="18">
        <v>290</v>
      </c>
      <c r="DU9" s="18"/>
      <c r="DV9" s="9">
        <v>0</v>
      </c>
      <c r="DW9" s="18"/>
      <c r="DX9" s="109">
        <f t="shared" si="0"/>
        <v>841297.7554217466</v>
      </c>
      <c r="DY9" s="72"/>
      <c r="DZ9" s="54" t="s">
        <v>12</v>
      </c>
      <c r="EA9" s="37">
        <v>21400</v>
      </c>
      <c r="EB9" s="95">
        <v>36000</v>
      </c>
      <c r="EC9" s="18">
        <v>230.832</v>
      </c>
      <c r="ED9" s="18">
        <v>233.228</v>
      </c>
      <c r="EE9" s="9">
        <v>600</v>
      </c>
      <c r="EF9" s="33">
        <v>10</v>
      </c>
      <c r="EG9" s="18">
        <v>39670.471</v>
      </c>
      <c r="EH9" s="18">
        <v>500.771</v>
      </c>
      <c r="EI9" s="18">
        <v>5206</v>
      </c>
      <c r="EJ9" s="18">
        <v>23210.407</v>
      </c>
      <c r="EK9" s="121">
        <v>594</v>
      </c>
    </row>
    <row r="10" spans="1:141" ht="12.75" hidden="1">
      <c r="A10" s="54" t="s">
        <v>13</v>
      </c>
      <c r="B10" s="33">
        <v>796917.067</v>
      </c>
      <c r="C10" s="89">
        <v>1215887.3986474867</v>
      </c>
      <c r="D10" s="89"/>
      <c r="E10" s="89">
        <v>5021.198909999997</v>
      </c>
      <c r="F10" s="89"/>
      <c r="G10" s="90">
        <v>20249.53859155503</v>
      </c>
      <c r="H10" s="89"/>
      <c r="I10" s="90">
        <v>22067.29411764706</v>
      </c>
      <c r="J10" s="33"/>
      <c r="K10" s="20">
        <v>16128.26</v>
      </c>
      <c r="L10" s="33"/>
      <c r="M10" s="20">
        <v>3900</v>
      </c>
      <c r="N10" s="33"/>
      <c r="O10" s="20">
        <v>5630.597</v>
      </c>
      <c r="P10" s="33"/>
      <c r="Q10" s="20">
        <v>3741.938</v>
      </c>
      <c r="R10" s="18"/>
      <c r="S10" s="61">
        <v>1334.829</v>
      </c>
      <c r="T10" s="61">
        <v>657.147</v>
      </c>
      <c r="U10" s="18"/>
      <c r="V10" s="9">
        <v>50877</v>
      </c>
      <c r="W10" s="18"/>
      <c r="X10" s="9">
        <f>5084.926+5066.947</f>
        <v>10151.873</v>
      </c>
      <c r="Y10" s="18"/>
      <c r="Z10" s="9">
        <v>8265.984</v>
      </c>
      <c r="AA10" s="18"/>
      <c r="AB10" s="33"/>
      <c r="AC10" s="9">
        <v>831869.331</v>
      </c>
      <c r="AD10" s="61">
        <v>185085.841</v>
      </c>
      <c r="AE10" s="61">
        <f t="shared" si="1"/>
        <v>1016955.172</v>
      </c>
      <c r="AF10" s="37"/>
      <c r="AG10" s="9">
        <v>195087.321</v>
      </c>
      <c r="AH10" s="162">
        <v>59166.486</v>
      </c>
      <c r="AI10" s="18"/>
      <c r="AJ10" s="9">
        <v>178476.064</v>
      </c>
      <c r="AK10" s="9">
        <v>5702.86</v>
      </c>
      <c r="AL10" s="162">
        <v>11530.751</v>
      </c>
      <c r="AM10" s="33"/>
      <c r="AN10" s="145">
        <v>12454.386</v>
      </c>
      <c r="AO10" s="18"/>
      <c r="AP10" s="9">
        <v>1618.216</v>
      </c>
      <c r="AQ10" s="18"/>
      <c r="AR10" s="37">
        <v>2189.23925299139</v>
      </c>
      <c r="AS10" s="37"/>
      <c r="AT10" s="9">
        <v>13086.333</v>
      </c>
      <c r="AU10" s="9"/>
      <c r="AV10" s="162">
        <v>1782.143</v>
      </c>
      <c r="AW10" s="9"/>
      <c r="AX10" s="162">
        <v>281.463</v>
      </c>
      <c r="AY10" s="37"/>
      <c r="AZ10" s="67">
        <v>722.405</v>
      </c>
      <c r="BA10" s="37"/>
      <c r="BB10" s="9">
        <v>7135.709</v>
      </c>
      <c r="BC10" s="37"/>
      <c r="BD10" s="9">
        <v>521958</v>
      </c>
      <c r="BE10" s="37"/>
      <c r="BF10" s="9">
        <v>99921.878</v>
      </c>
      <c r="BG10" s="18"/>
      <c r="BH10" s="20">
        <v>640.07</v>
      </c>
      <c r="BI10" s="33"/>
      <c r="BJ10" s="20">
        <v>55340</v>
      </c>
      <c r="BK10" s="33"/>
      <c r="BL10" s="9">
        <v>26737</v>
      </c>
      <c r="BM10" s="18"/>
      <c r="BN10" s="18">
        <v>3219</v>
      </c>
      <c r="BO10" s="18"/>
      <c r="BP10" s="9">
        <v>57023.278</v>
      </c>
      <c r="BQ10" s="18"/>
      <c r="BR10" s="20">
        <v>55447</v>
      </c>
      <c r="BS10" s="33"/>
      <c r="BT10" s="33">
        <v>9593.5</v>
      </c>
      <c r="BU10" s="33">
        <f>63817.4-9593.5</f>
        <v>54223.9</v>
      </c>
      <c r="BV10" s="33"/>
      <c r="BW10" s="9">
        <v>6236.718</v>
      </c>
      <c r="BX10" s="33"/>
      <c r="BY10" s="9">
        <v>1736.478</v>
      </c>
      <c r="BZ10" s="18"/>
      <c r="CA10" s="9">
        <v>992.04</v>
      </c>
      <c r="CB10" s="18"/>
      <c r="CC10" s="9">
        <v>1979.12</v>
      </c>
      <c r="CD10" s="18"/>
      <c r="CE10" s="18">
        <v>6761.450999999999</v>
      </c>
      <c r="CF10" s="18"/>
      <c r="CG10" s="61">
        <v>2208.964</v>
      </c>
      <c r="CH10" s="18"/>
      <c r="CI10" s="9">
        <v>12068.449</v>
      </c>
      <c r="CJ10" s="18"/>
      <c r="CK10" s="9">
        <v>11239.243</v>
      </c>
      <c r="CL10" s="9">
        <v>3199.456</v>
      </c>
      <c r="CM10" s="18"/>
      <c r="CN10" s="9">
        <v>32308.066</v>
      </c>
      <c r="CO10" s="18"/>
      <c r="CP10" s="9">
        <v>22083.797</v>
      </c>
      <c r="CQ10" s="9"/>
      <c r="CR10" s="9">
        <v>15389.085</v>
      </c>
      <c r="CS10" s="9"/>
      <c r="CT10" s="9">
        <v>3211.918</v>
      </c>
      <c r="CU10" s="18"/>
      <c r="CV10" s="9">
        <v>53843.793</v>
      </c>
      <c r="CW10" s="18"/>
      <c r="CX10" s="9">
        <v>930</v>
      </c>
      <c r="CY10" s="9">
        <v>293.15</v>
      </c>
      <c r="CZ10" s="18"/>
      <c r="DA10" s="9">
        <v>824.004</v>
      </c>
      <c r="DB10" s="18"/>
      <c r="DC10" s="9">
        <v>2767.911</v>
      </c>
      <c r="DD10" s="18"/>
      <c r="DE10" s="9">
        <v>25306.956</v>
      </c>
      <c r="DF10" s="18"/>
      <c r="DG10" s="70">
        <v>10721.206</v>
      </c>
      <c r="DH10" s="71"/>
      <c r="DI10" s="9">
        <v>7022.967</v>
      </c>
      <c r="DJ10" s="18"/>
      <c r="DK10" s="9">
        <v>315.621</v>
      </c>
      <c r="DL10" s="18"/>
      <c r="DM10" s="9">
        <v>7616.346</v>
      </c>
      <c r="DN10" s="9">
        <v>17830.637</v>
      </c>
      <c r="DO10" s="18"/>
      <c r="DP10" s="9">
        <v>17403.029</v>
      </c>
      <c r="DQ10" s="18"/>
      <c r="DR10" s="18">
        <v>625</v>
      </c>
      <c r="DS10" s="18"/>
      <c r="DT10" s="18">
        <v>322.9</v>
      </c>
      <c r="DU10" s="18"/>
      <c r="DV10" s="9">
        <v>19035</v>
      </c>
      <c r="DW10" s="18"/>
      <c r="DX10" s="109">
        <f t="shared" si="0"/>
        <v>4835395.604519682</v>
      </c>
      <c r="DY10" s="72"/>
      <c r="DZ10" s="54" t="s">
        <v>13</v>
      </c>
      <c r="EA10" s="37">
        <v>1139700</v>
      </c>
      <c r="EB10" s="95">
        <v>381000</v>
      </c>
      <c r="EC10" s="18">
        <v>3363.269</v>
      </c>
      <c r="ED10" s="18">
        <v>3398.182</v>
      </c>
      <c r="EE10" s="9">
        <v>19868.571</v>
      </c>
      <c r="EF10" s="33">
        <v>352.005</v>
      </c>
      <c r="EG10" s="18">
        <v>223923</v>
      </c>
      <c r="EH10" s="18">
        <v>2489.141</v>
      </c>
      <c r="EI10" s="18">
        <v>0</v>
      </c>
      <c r="EJ10" s="18">
        <v>100116.349</v>
      </c>
      <c r="EK10" s="121">
        <v>2729</v>
      </c>
    </row>
    <row r="11" spans="1:141" ht="12.75" hidden="1">
      <c r="A11" s="54" t="s">
        <v>14</v>
      </c>
      <c r="B11" s="33">
        <v>239963.34</v>
      </c>
      <c r="C11" s="89">
        <v>371221.8958170018</v>
      </c>
      <c r="D11" s="89"/>
      <c r="E11" s="89">
        <v>1056.440849999999</v>
      </c>
      <c r="F11" s="89"/>
      <c r="G11" s="90">
        <v>4366.586562848999</v>
      </c>
      <c r="H11" s="89"/>
      <c r="I11" s="90">
        <v>14527.764705882353</v>
      </c>
      <c r="J11" s="33"/>
      <c r="K11" s="20">
        <v>7130.53</v>
      </c>
      <c r="L11" s="33"/>
      <c r="M11" s="20">
        <v>3339.048</v>
      </c>
      <c r="N11" s="33"/>
      <c r="O11" s="20">
        <v>3090.457</v>
      </c>
      <c r="P11" s="33"/>
      <c r="Q11" s="20">
        <v>1652.144</v>
      </c>
      <c r="R11" s="18"/>
      <c r="S11" s="61">
        <v>648.133</v>
      </c>
      <c r="T11" s="61">
        <v>319.081</v>
      </c>
      <c r="U11" s="18"/>
      <c r="V11" s="9">
        <v>25134</v>
      </c>
      <c r="W11" s="18"/>
      <c r="X11" s="9">
        <f>3170.152+4140.844</f>
        <v>7310.996</v>
      </c>
      <c r="Y11" s="18"/>
      <c r="Z11" s="9">
        <v>13595.871</v>
      </c>
      <c r="AA11" s="18"/>
      <c r="AB11" s="33"/>
      <c r="AC11" s="9">
        <v>363053.019</v>
      </c>
      <c r="AD11" s="61">
        <v>80777.078</v>
      </c>
      <c r="AE11" s="61">
        <f t="shared" si="1"/>
        <v>443830.09699999995</v>
      </c>
      <c r="AF11" s="37"/>
      <c r="AG11" s="9">
        <v>111092.138</v>
      </c>
      <c r="AH11" s="162">
        <v>34007.841</v>
      </c>
      <c r="AI11" s="18"/>
      <c r="AJ11" s="9">
        <v>112177.929</v>
      </c>
      <c r="AK11" s="9">
        <v>5565.646</v>
      </c>
      <c r="AL11" s="162">
        <v>4459.793</v>
      </c>
      <c r="AM11" s="33"/>
      <c r="AN11" s="145">
        <v>7125.783</v>
      </c>
      <c r="AO11" s="18"/>
      <c r="AP11" s="9">
        <v>644.553</v>
      </c>
      <c r="AQ11" s="18"/>
      <c r="AR11" s="37">
        <v>1558.7760438844552</v>
      </c>
      <c r="AS11" s="37"/>
      <c r="AT11" s="9">
        <v>6589.832</v>
      </c>
      <c r="AU11" s="9"/>
      <c r="AV11" s="162">
        <v>555.366</v>
      </c>
      <c r="AW11" s="9"/>
      <c r="AX11" s="162">
        <v>242.913</v>
      </c>
      <c r="AY11" s="37"/>
      <c r="AZ11" s="67">
        <v>353.503</v>
      </c>
      <c r="BA11" s="37"/>
      <c r="BB11" s="9">
        <v>0</v>
      </c>
      <c r="BC11" s="37"/>
      <c r="BD11" s="9">
        <v>351544</v>
      </c>
      <c r="BE11" s="37"/>
      <c r="BF11" s="9">
        <v>28409.45</v>
      </c>
      <c r="BG11" s="18"/>
      <c r="BH11" s="20">
        <v>0</v>
      </c>
      <c r="BI11" s="33"/>
      <c r="BJ11" s="20">
        <v>24485</v>
      </c>
      <c r="BK11" s="33"/>
      <c r="BL11" s="9">
        <v>25895.5</v>
      </c>
      <c r="BM11" s="18"/>
      <c r="BN11" s="18">
        <v>1672</v>
      </c>
      <c r="BO11" s="18"/>
      <c r="BP11" s="9">
        <v>48114.415</v>
      </c>
      <c r="BQ11" s="18"/>
      <c r="BR11" s="20">
        <v>39416</v>
      </c>
      <c r="BS11" s="33"/>
      <c r="BT11" s="18">
        <v>9593.5</v>
      </c>
      <c r="BU11" s="18">
        <f>20117.4-9593.5</f>
        <v>10523.900000000001</v>
      </c>
      <c r="BV11" s="33"/>
      <c r="BW11" s="9">
        <v>2739.657</v>
      </c>
      <c r="BX11" s="33"/>
      <c r="BY11" s="9">
        <v>748.009</v>
      </c>
      <c r="BZ11" s="18"/>
      <c r="CA11" s="9">
        <v>547.222</v>
      </c>
      <c r="CB11" s="18"/>
      <c r="CC11" s="9">
        <v>1091.708</v>
      </c>
      <c r="CD11" s="18"/>
      <c r="CE11" s="18">
        <v>2837.628</v>
      </c>
      <c r="CF11" s="18"/>
      <c r="CG11" s="61">
        <v>1274.26</v>
      </c>
      <c r="CH11" s="18"/>
      <c r="CI11" s="9">
        <v>29016.635</v>
      </c>
      <c r="CJ11" s="18"/>
      <c r="CK11" s="9">
        <v>2182.127</v>
      </c>
      <c r="CL11" s="9">
        <v>5144.608</v>
      </c>
      <c r="CM11" s="18"/>
      <c r="CN11" s="9">
        <v>20463.053</v>
      </c>
      <c r="CO11" s="18"/>
      <c r="CP11" s="9">
        <v>11212.943</v>
      </c>
      <c r="CQ11" s="9"/>
      <c r="CR11" s="9">
        <v>20076.186</v>
      </c>
      <c r="CS11" s="9"/>
      <c r="CT11" s="9">
        <v>0</v>
      </c>
      <c r="CU11" s="18"/>
      <c r="CV11" s="9">
        <v>0</v>
      </c>
      <c r="CW11" s="18"/>
      <c r="CX11" s="9">
        <v>689</v>
      </c>
      <c r="CY11" s="9">
        <v>276.705</v>
      </c>
      <c r="CZ11" s="18"/>
      <c r="DA11" s="9">
        <v>580.983</v>
      </c>
      <c r="DB11" s="18"/>
      <c r="DC11" s="9">
        <v>1589.942</v>
      </c>
      <c r="DD11" s="18"/>
      <c r="DE11" s="9">
        <v>13768.225</v>
      </c>
      <c r="DF11" s="18"/>
      <c r="DG11" s="70">
        <v>4283.524</v>
      </c>
      <c r="DH11" s="71"/>
      <c r="DI11" s="9">
        <v>3309.854</v>
      </c>
      <c r="DJ11" s="18"/>
      <c r="DK11" s="9">
        <v>431.8</v>
      </c>
      <c r="DL11" s="18"/>
      <c r="DM11" s="9">
        <v>5072.93</v>
      </c>
      <c r="DN11" s="9">
        <v>12065.555</v>
      </c>
      <c r="DO11" s="18"/>
      <c r="DP11" s="9">
        <v>7518.483</v>
      </c>
      <c r="DQ11" s="18"/>
      <c r="DR11" s="18">
        <v>272</v>
      </c>
      <c r="DS11" s="18"/>
      <c r="DT11" s="18">
        <v>302.1</v>
      </c>
      <c r="DU11" s="18"/>
      <c r="DV11" s="9">
        <v>0</v>
      </c>
      <c r="DW11" s="18"/>
      <c r="DX11" s="109">
        <f t="shared" si="0"/>
        <v>2108709.359979618</v>
      </c>
      <c r="DY11" s="72"/>
      <c r="DZ11" s="54" t="s">
        <v>14</v>
      </c>
      <c r="EA11" s="37">
        <v>286800</v>
      </c>
      <c r="EB11" s="95">
        <v>269000</v>
      </c>
      <c r="EC11" s="18">
        <v>1411.488</v>
      </c>
      <c r="ED11" s="18">
        <v>1426.14</v>
      </c>
      <c r="EE11" s="9">
        <v>14380</v>
      </c>
      <c r="EF11" s="33">
        <v>82.6</v>
      </c>
      <c r="EG11" s="18">
        <v>67513</v>
      </c>
      <c r="EH11" s="18">
        <v>1060.504</v>
      </c>
      <c r="EI11" s="18">
        <v>59969</v>
      </c>
      <c r="EJ11" s="18">
        <v>28366.429</v>
      </c>
      <c r="EK11" s="121">
        <v>18694</v>
      </c>
    </row>
    <row r="12" spans="1:141" ht="12.75" hidden="1">
      <c r="A12" s="55" t="s">
        <v>15</v>
      </c>
      <c r="B12" s="22">
        <v>4364714.926</v>
      </c>
      <c r="C12" s="91">
        <v>6141313.486185786</v>
      </c>
      <c r="D12" s="89"/>
      <c r="E12" s="91">
        <v>54365.326469999825</v>
      </c>
      <c r="F12" s="89"/>
      <c r="G12" s="92">
        <v>158516.65915800005</v>
      </c>
      <c r="H12" s="89"/>
      <c r="I12" s="92">
        <v>154606.94117647057</v>
      </c>
      <c r="J12" s="34"/>
      <c r="K12" s="21">
        <v>109264.437</v>
      </c>
      <c r="L12" s="34"/>
      <c r="M12" s="21">
        <v>15600</v>
      </c>
      <c r="N12" s="34"/>
      <c r="O12" s="21">
        <v>48088.867</v>
      </c>
      <c r="P12" s="34"/>
      <c r="Q12" s="21">
        <v>23446.251</v>
      </c>
      <c r="R12" s="37"/>
      <c r="S12" s="10">
        <v>6585.441</v>
      </c>
      <c r="T12" s="10">
        <v>3242.063</v>
      </c>
      <c r="U12" s="37"/>
      <c r="V12" s="10">
        <v>220274</v>
      </c>
      <c r="W12" s="37"/>
      <c r="X12" s="10">
        <f>40858.826+38221.112</f>
        <v>79079.938</v>
      </c>
      <c r="Y12" s="37"/>
      <c r="Z12" s="10">
        <v>89150.062</v>
      </c>
      <c r="AA12" s="37"/>
      <c r="AB12" s="34"/>
      <c r="AC12" s="11">
        <v>4875498.758</v>
      </c>
      <c r="AD12" s="10">
        <v>1084768.673</v>
      </c>
      <c r="AE12" s="10">
        <f t="shared" si="1"/>
        <v>5960267.431</v>
      </c>
      <c r="AF12" s="37"/>
      <c r="AG12" s="10">
        <v>1124920.473</v>
      </c>
      <c r="AH12" s="142">
        <v>351762.637</v>
      </c>
      <c r="AI12" s="37"/>
      <c r="AJ12" s="10">
        <v>1226944.052</v>
      </c>
      <c r="AK12" s="10">
        <v>41028.219</v>
      </c>
      <c r="AL12" s="142">
        <v>59511.391</v>
      </c>
      <c r="AM12" s="33"/>
      <c r="AN12" s="142">
        <v>71578.424</v>
      </c>
      <c r="AO12" s="37"/>
      <c r="AP12" s="10">
        <v>13795.989</v>
      </c>
      <c r="AQ12" s="37"/>
      <c r="AR12" s="10">
        <v>20657.189053554845</v>
      </c>
      <c r="AS12" s="37"/>
      <c r="AT12" s="10">
        <v>56470.213</v>
      </c>
      <c r="AU12" s="37"/>
      <c r="AV12" s="142">
        <v>10276.949</v>
      </c>
      <c r="AW12" s="37"/>
      <c r="AX12" s="142">
        <v>1623.087</v>
      </c>
      <c r="AY12" s="37"/>
      <c r="AZ12" s="73">
        <v>3707.078</v>
      </c>
      <c r="BA12" s="37"/>
      <c r="BB12" s="10">
        <v>1428.374</v>
      </c>
      <c r="BC12" s="37"/>
      <c r="BD12" s="10">
        <v>2569568</v>
      </c>
      <c r="BE12" s="37"/>
      <c r="BF12" s="10">
        <v>1002276.804</v>
      </c>
      <c r="BG12" s="37"/>
      <c r="BH12" s="21">
        <v>66171.889</v>
      </c>
      <c r="BI12" s="34"/>
      <c r="BJ12" s="21">
        <v>159008</v>
      </c>
      <c r="BK12" s="34"/>
      <c r="BL12" s="10">
        <v>283116.5</v>
      </c>
      <c r="BM12" s="37"/>
      <c r="BN12" s="10">
        <v>15577</v>
      </c>
      <c r="BO12" s="37"/>
      <c r="BP12" s="10">
        <v>185811.061</v>
      </c>
      <c r="BQ12" s="37"/>
      <c r="BR12" s="21">
        <v>226093</v>
      </c>
      <c r="BS12" s="34"/>
      <c r="BT12" s="21">
        <v>49603.4</v>
      </c>
      <c r="BU12" s="21">
        <f>351658.9-49603.4</f>
        <v>302055.5</v>
      </c>
      <c r="BV12" s="34"/>
      <c r="BW12" s="10">
        <v>35266.866</v>
      </c>
      <c r="BX12" s="34"/>
      <c r="BY12" s="10">
        <v>14589.837</v>
      </c>
      <c r="BZ12" s="37"/>
      <c r="CA12" s="10">
        <v>6221.392</v>
      </c>
      <c r="CB12" s="37"/>
      <c r="CC12" s="10">
        <v>12411.861</v>
      </c>
      <c r="CD12" s="37"/>
      <c r="CE12" s="10">
        <v>21702.434999999998</v>
      </c>
      <c r="CF12" s="37"/>
      <c r="CG12" s="10">
        <v>12864.683</v>
      </c>
      <c r="CH12" s="37"/>
      <c r="CI12" s="10">
        <v>117918.838</v>
      </c>
      <c r="CJ12" s="37"/>
      <c r="CK12" s="10">
        <v>112526.909</v>
      </c>
      <c r="CL12" s="10">
        <v>10652.033</v>
      </c>
      <c r="CM12" s="37"/>
      <c r="CN12" s="10">
        <v>325877.114</v>
      </c>
      <c r="CO12" s="37"/>
      <c r="CP12" s="10">
        <v>189086.299</v>
      </c>
      <c r="CQ12" s="37"/>
      <c r="CR12" s="10">
        <v>305037.547</v>
      </c>
      <c r="CS12" s="37"/>
      <c r="CT12" s="10">
        <v>17624.182</v>
      </c>
      <c r="CU12" s="37"/>
      <c r="CV12" s="10">
        <v>15033.342</v>
      </c>
      <c r="CW12" s="37"/>
      <c r="CX12" s="10">
        <v>2931</v>
      </c>
      <c r="CY12" s="10">
        <v>8110.055</v>
      </c>
      <c r="CZ12" s="37"/>
      <c r="DA12" s="10">
        <v>4233.003</v>
      </c>
      <c r="DB12" s="37"/>
      <c r="DC12" s="10">
        <v>13298.809</v>
      </c>
      <c r="DD12" s="37"/>
      <c r="DE12" s="10">
        <v>135641.945</v>
      </c>
      <c r="DF12" s="37"/>
      <c r="DG12" s="74">
        <v>59905.736</v>
      </c>
      <c r="DH12" s="71"/>
      <c r="DI12" s="10">
        <v>46970.564</v>
      </c>
      <c r="DJ12" s="37"/>
      <c r="DK12" s="10">
        <v>2035.078</v>
      </c>
      <c r="DL12" s="37"/>
      <c r="DM12" s="10">
        <v>80117.954</v>
      </c>
      <c r="DN12" s="10">
        <v>186622.034</v>
      </c>
      <c r="DO12" s="37"/>
      <c r="DP12" s="10">
        <v>221906.888</v>
      </c>
      <c r="DQ12" s="37"/>
      <c r="DR12" s="10">
        <v>3553</v>
      </c>
      <c r="DS12" s="37"/>
      <c r="DT12" s="10">
        <v>502.4</v>
      </c>
      <c r="DU12" s="37"/>
      <c r="DV12" s="10">
        <v>0</v>
      </c>
      <c r="DW12" s="37"/>
      <c r="DX12" s="110">
        <f t="shared" si="0"/>
        <v>27234142.86204382</v>
      </c>
      <c r="DY12" s="72"/>
      <c r="DZ12" s="55" t="s">
        <v>15</v>
      </c>
      <c r="EA12" s="10">
        <v>2772500</v>
      </c>
      <c r="EB12" s="102">
        <v>1466000</v>
      </c>
      <c r="EC12" s="10">
        <v>10795.187</v>
      </c>
      <c r="ED12" s="10">
        <v>10907.248</v>
      </c>
      <c r="EE12" s="10">
        <v>92701.199</v>
      </c>
      <c r="EF12" s="22">
        <v>10156.412</v>
      </c>
      <c r="EG12" s="10">
        <v>1000000</v>
      </c>
      <c r="EH12" s="10">
        <v>26950.333</v>
      </c>
      <c r="EI12" s="10">
        <v>0</v>
      </c>
      <c r="EJ12" s="10">
        <v>1829937.521</v>
      </c>
      <c r="EK12" s="183">
        <v>21745</v>
      </c>
    </row>
    <row r="13" spans="1:141" ht="12.75" hidden="1">
      <c r="A13" s="54" t="s">
        <v>16</v>
      </c>
      <c r="B13" s="33">
        <v>347181.397</v>
      </c>
      <c r="C13" s="89">
        <v>538672.05581319</v>
      </c>
      <c r="D13" s="89"/>
      <c r="E13" s="89">
        <v>4587.268139999995</v>
      </c>
      <c r="F13" s="89"/>
      <c r="G13" s="90">
        <v>10092.229688400006</v>
      </c>
      <c r="H13" s="89"/>
      <c r="I13" s="90">
        <v>19159.41176470588</v>
      </c>
      <c r="J13" s="33"/>
      <c r="K13" s="20">
        <v>16868.645</v>
      </c>
      <c r="L13" s="33"/>
      <c r="M13" s="20">
        <v>1300</v>
      </c>
      <c r="N13" s="33"/>
      <c r="O13" s="20">
        <v>7528.569</v>
      </c>
      <c r="P13" s="33"/>
      <c r="Q13" s="20">
        <v>3329.406</v>
      </c>
      <c r="R13" s="18"/>
      <c r="S13" s="61">
        <v>847.851</v>
      </c>
      <c r="T13" s="61">
        <v>417.403</v>
      </c>
      <c r="U13" s="18"/>
      <c r="V13" s="9">
        <v>24312</v>
      </c>
      <c r="W13" s="18"/>
      <c r="X13" s="9">
        <f>3357.445+3831.129</f>
        <v>7188.5740000000005</v>
      </c>
      <c r="Y13" s="18"/>
      <c r="Z13" s="9">
        <v>8684.648</v>
      </c>
      <c r="AA13" s="18"/>
      <c r="AB13" s="33"/>
      <c r="AC13" s="9">
        <v>621878.397</v>
      </c>
      <c r="AD13" s="61">
        <v>138364.142</v>
      </c>
      <c r="AE13" s="61">
        <f t="shared" si="1"/>
        <v>760242.539</v>
      </c>
      <c r="AF13" s="37"/>
      <c r="AG13" s="9">
        <v>111135.922</v>
      </c>
      <c r="AH13" s="162">
        <v>33611.909</v>
      </c>
      <c r="AI13" s="18"/>
      <c r="AJ13" s="9">
        <v>148730.571</v>
      </c>
      <c r="AK13" s="9">
        <v>5281.455</v>
      </c>
      <c r="AL13" s="162">
        <v>7954.827</v>
      </c>
      <c r="AM13" s="33"/>
      <c r="AN13" s="162">
        <v>7032.633</v>
      </c>
      <c r="AO13" s="18"/>
      <c r="AP13" s="9">
        <v>924.815</v>
      </c>
      <c r="AQ13" s="18"/>
      <c r="AR13" s="37">
        <v>2733.027074708073</v>
      </c>
      <c r="AS13" s="37"/>
      <c r="AT13" s="9">
        <v>7307.044</v>
      </c>
      <c r="AU13" s="9"/>
      <c r="AV13" s="162">
        <v>1366.817</v>
      </c>
      <c r="AW13" s="9"/>
      <c r="AX13" s="162">
        <v>242.913</v>
      </c>
      <c r="AY13" s="37"/>
      <c r="AZ13" s="67">
        <v>497.578</v>
      </c>
      <c r="BA13" s="37"/>
      <c r="BB13" s="9">
        <v>1031.392</v>
      </c>
      <c r="BC13" s="37"/>
      <c r="BD13" s="9">
        <v>403924</v>
      </c>
      <c r="BE13" s="37"/>
      <c r="BF13" s="9">
        <v>102715.66399999999</v>
      </c>
      <c r="BG13" s="18"/>
      <c r="BH13" s="20">
        <v>753.399</v>
      </c>
      <c r="BI13" s="33"/>
      <c r="BJ13" s="20">
        <v>34352</v>
      </c>
      <c r="BK13" s="33"/>
      <c r="BL13" s="9">
        <v>31664.8</v>
      </c>
      <c r="BM13" s="18"/>
      <c r="BN13" s="18">
        <v>2540</v>
      </c>
      <c r="BO13" s="18"/>
      <c r="BP13" s="9">
        <v>79531.213</v>
      </c>
      <c r="BQ13" s="18"/>
      <c r="BR13" s="20">
        <v>49222</v>
      </c>
      <c r="BS13" s="33"/>
      <c r="BT13" s="33">
        <v>9593.5</v>
      </c>
      <c r="BU13" s="33">
        <f>42618.7-9593.5</f>
        <v>33025.2</v>
      </c>
      <c r="BV13" s="33"/>
      <c r="BW13" s="9">
        <v>4739.253</v>
      </c>
      <c r="BX13" s="33"/>
      <c r="BY13" s="9">
        <v>1509.397</v>
      </c>
      <c r="BZ13" s="18"/>
      <c r="CA13" s="9">
        <v>735.964</v>
      </c>
      <c r="CB13" s="18"/>
      <c r="CC13" s="9">
        <v>1468.25</v>
      </c>
      <c r="CD13" s="18"/>
      <c r="CE13" s="18">
        <v>2446.2929999999997</v>
      </c>
      <c r="CF13" s="18"/>
      <c r="CG13" s="61">
        <v>1034.538</v>
      </c>
      <c r="CH13" s="18"/>
      <c r="CI13" s="9">
        <v>17603.292</v>
      </c>
      <c r="CJ13" s="18"/>
      <c r="CK13" s="9">
        <v>7263.91</v>
      </c>
      <c r="CL13" s="9">
        <v>2861.22</v>
      </c>
      <c r="CM13" s="18"/>
      <c r="CN13" s="9">
        <v>27349.67</v>
      </c>
      <c r="CO13" s="18"/>
      <c r="CP13" s="9">
        <v>15491.118</v>
      </c>
      <c r="CQ13" s="9"/>
      <c r="CR13" s="9">
        <v>35545.846</v>
      </c>
      <c r="CS13" s="9"/>
      <c r="CT13" s="9">
        <v>0</v>
      </c>
      <c r="CU13" s="18"/>
      <c r="CV13" s="9">
        <v>1117.257</v>
      </c>
      <c r="CW13" s="18"/>
      <c r="CX13" s="9">
        <v>827</v>
      </c>
      <c r="CY13" s="9">
        <v>929.31</v>
      </c>
      <c r="CZ13" s="18"/>
      <c r="DA13" s="9">
        <v>675.991</v>
      </c>
      <c r="DB13" s="18"/>
      <c r="DC13" s="9">
        <v>2306.619</v>
      </c>
      <c r="DD13" s="18"/>
      <c r="DE13" s="9">
        <v>18323.383</v>
      </c>
      <c r="DF13" s="18"/>
      <c r="DG13" s="70">
        <v>9104.983</v>
      </c>
      <c r="DH13" s="71"/>
      <c r="DI13" s="9">
        <v>6212.434</v>
      </c>
      <c r="DJ13" s="18"/>
      <c r="DK13" s="9">
        <v>240.104</v>
      </c>
      <c r="DL13" s="18"/>
      <c r="DM13" s="9">
        <v>4792.362</v>
      </c>
      <c r="DN13" s="9">
        <v>11874.97</v>
      </c>
      <c r="DO13" s="18"/>
      <c r="DP13" s="9">
        <v>14464.916</v>
      </c>
      <c r="DQ13" s="18"/>
      <c r="DR13" s="18">
        <v>514</v>
      </c>
      <c r="DS13" s="18"/>
      <c r="DT13" s="18">
        <v>314.1</v>
      </c>
      <c r="DU13" s="18"/>
      <c r="DV13" s="9">
        <v>2045</v>
      </c>
      <c r="DW13" s="18"/>
      <c r="DX13" s="109">
        <f t="shared" si="0"/>
        <v>3017375.856481005</v>
      </c>
      <c r="DY13" s="72"/>
      <c r="DZ13" s="54" t="s">
        <v>16</v>
      </c>
      <c r="EA13" s="37">
        <v>364700</v>
      </c>
      <c r="EB13" s="95">
        <v>181000</v>
      </c>
      <c r="EC13" s="18">
        <v>1216.831</v>
      </c>
      <c r="ED13" s="18">
        <v>1229.462</v>
      </c>
      <c r="EE13" s="9">
        <v>8035</v>
      </c>
      <c r="EF13" s="33">
        <v>266.46</v>
      </c>
      <c r="EG13" s="18">
        <v>105517</v>
      </c>
      <c r="EH13" s="18">
        <v>2274.03</v>
      </c>
      <c r="EI13" s="18">
        <v>42490</v>
      </c>
      <c r="EJ13" s="18">
        <v>68028.345</v>
      </c>
      <c r="EK13" s="121">
        <v>3271</v>
      </c>
    </row>
    <row r="14" spans="1:141" ht="12.75" hidden="1">
      <c r="A14" s="54" t="s">
        <v>17</v>
      </c>
      <c r="B14" s="33">
        <v>563213.698</v>
      </c>
      <c r="C14" s="89">
        <v>703530.3192464117</v>
      </c>
      <c r="D14" s="89"/>
      <c r="E14" s="89">
        <v>9918.417599999997</v>
      </c>
      <c r="F14" s="89"/>
      <c r="G14" s="90">
        <v>14808.244622400009</v>
      </c>
      <c r="H14" s="89"/>
      <c r="I14" s="90">
        <v>16150.588235294117</v>
      </c>
      <c r="J14" s="33"/>
      <c r="K14" s="20">
        <v>11430.925</v>
      </c>
      <c r="L14" s="33"/>
      <c r="M14" s="20">
        <v>3725</v>
      </c>
      <c r="N14" s="33"/>
      <c r="O14" s="20">
        <v>3771.893</v>
      </c>
      <c r="P14" s="33"/>
      <c r="Q14" s="20">
        <v>2518.682</v>
      </c>
      <c r="R14" s="18"/>
      <c r="S14" s="61">
        <v>775.759</v>
      </c>
      <c r="T14" s="61">
        <v>381.912</v>
      </c>
      <c r="U14" s="18"/>
      <c r="V14" s="9">
        <v>13686</v>
      </c>
      <c r="W14" s="18"/>
      <c r="X14" s="9">
        <f>2549.728+2713.403</f>
        <v>5263.130999999999</v>
      </c>
      <c r="Y14" s="18"/>
      <c r="Z14" s="9">
        <v>12060.854</v>
      </c>
      <c r="AA14" s="18"/>
      <c r="AB14" s="33"/>
      <c r="AC14" s="9">
        <v>443251.855</v>
      </c>
      <c r="AD14" s="61">
        <v>98620.828</v>
      </c>
      <c r="AE14" s="61">
        <f t="shared" si="1"/>
        <v>541872.683</v>
      </c>
      <c r="AF14" s="37"/>
      <c r="AG14" s="9">
        <v>70714.174</v>
      </c>
      <c r="AH14" s="162">
        <v>21818.804</v>
      </c>
      <c r="AI14" s="18"/>
      <c r="AJ14" s="9">
        <v>132971.468</v>
      </c>
      <c r="AK14" s="9">
        <v>5089.013</v>
      </c>
      <c r="AL14" s="162">
        <v>4559.747</v>
      </c>
      <c r="AM14" s="33"/>
      <c r="AN14" s="162">
        <v>4614.065</v>
      </c>
      <c r="AO14" s="18"/>
      <c r="AP14" s="9">
        <v>336.688</v>
      </c>
      <c r="AQ14" s="18"/>
      <c r="AR14" s="37">
        <v>2256.5277743478964</v>
      </c>
      <c r="AS14" s="37"/>
      <c r="AT14" s="9">
        <v>3334.533</v>
      </c>
      <c r="AU14" s="9"/>
      <c r="AV14" s="162">
        <v>880.864</v>
      </c>
      <c r="AW14" s="9"/>
      <c r="AX14" s="162">
        <v>242.913</v>
      </c>
      <c r="AY14" s="37"/>
      <c r="AZ14" s="67">
        <v>427.951</v>
      </c>
      <c r="BA14" s="37"/>
      <c r="BB14" s="9">
        <v>0</v>
      </c>
      <c r="BC14" s="37"/>
      <c r="BD14" s="9">
        <v>302054</v>
      </c>
      <c r="BE14" s="37"/>
      <c r="BF14" s="9">
        <v>105495.951</v>
      </c>
      <c r="BG14" s="18"/>
      <c r="BH14" s="20">
        <v>32030.396</v>
      </c>
      <c r="BI14" s="33"/>
      <c r="BJ14" s="20">
        <v>19500</v>
      </c>
      <c r="BK14" s="33"/>
      <c r="BL14" s="9">
        <v>48495.3</v>
      </c>
      <c r="BM14" s="18"/>
      <c r="BN14" s="18">
        <v>2000</v>
      </c>
      <c r="BO14" s="18"/>
      <c r="BP14" s="9">
        <v>64310.502</v>
      </c>
      <c r="BQ14" s="18"/>
      <c r="BR14" s="20">
        <v>38542</v>
      </c>
      <c r="BS14" s="33"/>
      <c r="BT14" s="33">
        <v>9593.5</v>
      </c>
      <c r="BU14" s="33">
        <f>24522.9-9593.5</f>
        <v>14929.400000000001</v>
      </c>
      <c r="BV14" s="33"/>
      <c r="BW14" s="9">
        <v>3359.341</v>
      </c>
      <c r="BX14" s="33"/>
      <c r="BY14" s="9">
        <v>1183.411</v>
      </c>
      <c r="BZ14" s="18"/>
      <c r="CA14" s="9">
        <v>443.396</v>
      </c>
      <c r="CB14" s="18"/>
      <c r="CC14" s="9">
        <v>884.575</v>
      </c>
      <c r="CD14" s="18"/>
      <c r="CE14" s="18">
        <v>2531.7709999999997</v>
      </c>
      <c r="CF14" s="18"/>
      <c r="CG14" s="61">
        <v>785.878</v>
      </c>
      <c r="CH14" s="18"/>
      <c r="CI14" s="9">
        <v>35743.555</v>
      </c>
      <c r="CJ14" s="18"/>
      <c r="CK14" s="9">
        <v>7465.866</v>
      </c>
      <c r="CL14" s="9">
        <v>3616.527</v>
      </c>
      <c r="CM14" s="18"/>
      <c r="CN14" s="9">
        <v>26170.888</v>
      </c>
      <c r="CO14" s="18"/>
      <c r="CP14" s="9">
        <v>16960.432</v>
      </c>
      <c r="CQ14" s="9"/>
      <c r="CR14" s="9">
        <v>48256.866</v>
      </c>
      <c r="CS14" s="9"/>
      <c r="CT14" s="9">
        <v>7579.126</v>
      </c>
      <c r="CU14" s="18"/>
      <c r="CV14" s="9">
        <v>0</v>
      </c>
      <c r="CW14" s="18"/>
      <c r="CX14" s="9">
        <v>732</v>
      </c>
      <c r="CY14" s="9">
        <v>285.841</v>
      </c>
      <c r="CZ14" s="18"/>
      <c r="DA14" s="9">
        <v>584.975</v>
      </c>
      <c r="DB14" s="18"/>
      <c r="DC14" s="9">
        <v>1819.31</v>
      </c>
      <c r="DD14" s="18"/>
      <c r="DE14" s="9">
        <v>12479.843</v>
      </c>
      <c r="DF14" s="18"/>
      <c r="DG14" s="70">
        <v>6272.238</v>
      </c>
      <c r="DH14" s="71"/>
      <c r="DI14" s="9">
        <v>4449.594</v>
      </c>
      <c r="DJ14" s="18"/>
      <c r="DK14" s="9">
        <v>259.468</v>
      </c>
      <c r="DL14" s="18"/>
      <c r="DM14" s="9">
        <v>4385.149</v>
      </c>
      <c r="DN14" s="9">
        <v>11034.723</v>
      </c>
      <c r="DO14" s="18"/>
      <c r="DP14" s="9">
        <v>14884.07</v>
      </c>
      <c r="DQ14" s="18"/>
      <c r="DR14" s="18">
        <v>325</v>
      </c>
      <c r="DS14" s="18"/>
      <c r="DT14" s="18">
        <v>306.1</v>
      </c>
      <c r="DU14" s="18"/>
      <c r="DV14" s="9">
        <v>5397</v>
      </c>
      <c r="DW14" s="18"/>
      <c r="DX14" s="109">
        <f t="shared" si="0"/>
        <v>3005502.846478454</v>
      </c>
      <c r="DY14" s="72"/>
      <c r="DZ14" s="54" t="s">
        <v>17</v>
      </c>
      <c r="EA14" s="37">
        <v>172400</v>
      </c>
      <c r="EB14" s="95">
        <v>152000</v>
      </c>
      <c r="EC14" s="18">
        <v>1259.349</v>
      </c>
      <c r="ED14" s="18">
        <v>1272.422</v>
      </c>
      <c r="EE14" s="9">
        <v>10119.075</v>
      </c>
      <c r="EF14" s="33">
        <v>0</v>
      </c>
      <c r="EG14" s="18">
        <v>133533</v>
      </c>
      <c r="EH14" s="18">
        <v>4916.822</v>
      </c>
      <c r="EI14" s="18">
        <v>87811</v>
      </c>
      <c r="EJ14" s="18">
        <v>133394.054</v>
      </c>
      <c r="EK14" s="121">
        <v>6443</v>
      </c>
    </row>
    <row r="15" spans="1:141" ht="12.75" hidden="1">
      <c r="A15" s="54" t="s">
        <v>18</v>
      </c>
      <c r="B15" s="33">
        <v>130826.542</v>
      </c>
      <c r="C15" s="89">
        <v>175756.69663196264</v>
      </c>
      <c r="D15" s="89"/>
      <c r="E15" s="89">
        <v>221.7120500000001</v>
      </c>
      <c r="F15" s="89"/>
      <c r="G15" s="90">
        <v>804.6547953000004</v>
      </c>
      <c r="H15" s="89"/>
      <c r="I15" s="90">
        <v>4938.35294117647</v>
      </c>
      <c r="J15" s="33"/>
      <c r="K15" s="20">
        <v>2089.763</v>
      </c>
      <c r="L15" s="33"/>
      <c r="M15" s="20">
        <v>1299.33</v>
      </c>
      <c r="N15" s="33"/>
      <c r="O15" s="20">
        <v>933.211</v>
      </c>
      <c r="P15" s="33"/>
      <c r="Q15" s="20">
        <v>664.808</v>
      </c>
      <c r="R15" s="18"/>
      <c r="S15" s="61">
        <v>325</v>
      </c>
      <c r="T15" s="61">
        <v>160</v>
      </c>
      <c r="U15" s="18"/>
      <c r="V15" s="9">
        <v>4546</v>
      </c>
      <c r="W15" s="18"/>
      <c r="X15" s="9">
        <f>650.267+806.255</f>
        <v>1456.522</v>
      </c>
      <c r="Y15" s="18"/>
      <c r="Z15" s="9">
        <v>5000</v>
      </c>
      <c r="AA15" s="18"/>
      <c r="AB15" s="33"/>
      <c r="AC15" s="9">
        <v>110320.067</v>
      </c>
      <c r="AD15" s="61">
        <v>24545.54</v>
      </c>
      <c r="AE15" s="61">
        <f t="shared" si="1"/>
        <v>134865.607</v>
      </c>
      <c r="AF15" s="37"/>
      <c r="AG15" s="9">
        <v>32433.643</v>
      </c>
      <c r="AH15" s="162">
        <v>8948.688</v>
      </c>
      <c r="AI15" s="18"/>
      <c r="AJ15" s="9">
        <v>32700.531</v>
      </c>
      <c r="AK15" s="9">
        <v>1332.738</v>
      </c>
      <c r="AL15" s="162">
        <v>2398.294</v>
      </c>
      <c r="AM15" s="33"/>
      <c r="AN15" s="162">
        <v>3209.375</v>
      </c>
      <c r="AO15" s="18"/>
      <c r="AP15" s="9">
        <v>189.306</v>
      </c>
      <c r="AQ15" s="18"/>
      <c r="AR15" s="37">
        <v>306.28677834403226</v>
      </c>
      <c r="AS15" s="37"/>
      <c r="AT15" s="9">
        <v>1800</v>
      </c>
      <c r="AU15" s="9"/>
      <c r="AV15" s="162">
        <v>350.357</v>
      </c>
      <c r="AW15" s="9"/>
      <c r="AX15" s="162">
        <v>242.913</v>
      </c>
      <c r="AY15" s="37"/>
      <c r="AZ15" s="67">
        <v>3.17</v>
      </c>
      <c r="BA15" s="37"/>
      <c r="BB15" s="9">
        <v>0</v>
      </c>
      <c r="BC15" s="37"/>
      <c r="BD15" s="9">
        <v>121829</v>
      </c>
      <c r="BE15" s="37"/>
      <c r="BF15" s="9">
        <v>17643.474000000002</v>
      </c>
      <c r="BG15" s="18"/>
      <c r="BH15" s="20">
        <v>0</v>
      </c>
      <c r="BI15" s="33"/>
      <c r="BJ15" s="20">
        <v>19500</v>
      </c>
      <c r="BK15" s="33"/>
      <c r="BL15" s="9">
        <v>19433.4</v>
      </c>
      <c r="BM15" s="18"/>
      <c r="BN15" s="18">
        <v>1232</v>
      </c>
      <c r="BO15" s="18"/>
      <c r="BP15" s="9">
        <v>13733.668</v>
      </c>
      <c r="BQ15" s="18"/>
      <c r="BR15" s="20">
        <v>24231</v>
      </c>
      <c r="BS15" s="33"/>
      <c r="BT15" s="33">
        <v>9593.5</v>
      </c>
      <c r="BU15" s="33">
        <f>(11072.3-9593.5)+4846.4</f>
        <v>6325.199999999999</v>
      </c>
      <c r="BV15" s="33"/>
      <c r="BW15" s="9">
        <v>837.704</v>
      </c>
      <c r="BX15" s="33"/>
      <c r="BY15" s="9">
        <v>223.564</v>
      </c>
      <c r="BZ15" s="18"/>
      <c r="CA15" s="9">
        <v>108.942</v>
      </c>
      <c r="CB15" s="18"/>
      <c r="CC15" s="9">
        <v>217.341</v>
      </c>
      <c r="CD15" s="18"/>
      <c r="CE15" s="18">
        <v>761.2370000000001</v>
      </c>
      <c r="CF15" s="18"/>
      <c r="CG15" s="61">
        <v>233.284</v>
      </c>
      <c r="CH15" s="18"/>
      <c r="CI15" s="9">
        <v>7067.91</v>
      </c>
      <c r="CJ15" s="18"/>
      <c r="CK15" s="9">
        <v>1371.88</v>
      </c>
      <c r="CL15" s="9">
        <v>537.718</v>
      </c>
      <c r="CM15" s="18"/>
      <c r="CN15" s="9">
        <v>6608.893</v>
      </c>
      <c r="CO15" s="18"/>
      <c r="CP15" s="9">
        <v>2921.322</v>
      </c>
      <c r="CQ15" s="9"/>
      <c r="CR15" s="9">
        <v>4407.466</v>
      </c>
      <c r="CS15" s="9"/>
      <c r="CT15" s="9">
        <v>0</v>
      </c>
      <c r="CU15" s="18"/>
      <c r="CV15" s="9">
        <v>0</v>
      </c>
      <c r="CW15" s="18"/>
      <c r="CX15" s="9">
        <v>558</v>
      </c>
      <c r="CY15" s="9">
        <v>130.521</v>
      </c>
      <c r="CZ15" s="18"/>
      <c r="DA15" s="9">
        <v>437.109</v>
      </c>
      <c r="DB15" s="18"/>
      <c r="DC15" s="9">
        <v>903.933</v>
      </c>
      <c r="DD15" s="18"/>
      <c r="DE15" s="9">
        <v>6617.02</v>
      </c>
      <c r="DF15" s="18"/>
      <c r="DG15" s="70">
        <v>1562.028</v>
      </c>
      <c r="DH15" s="71"/>
      <c r="DI15" s="9">
        <v>1106.097</v>
      </c>
      <c r="DJ15" s="18"/>
      <c r="DK15" s="9">
        <v>507.317</v>
      </c>
      <c r="DL15" s="18"/>
      <c r="DM15" s="9">
        <v>1234.406</v>
      </c>
      <c r="DN15" s="9">
        <v>2918.025</v>
      </c>
      <c r="DO15" s="18"/>
      <c r="DP15" s="9">
        <v>2039.325</v>
      </c>
      <c r="DQ15" s="18"/>
      <c r="DR15" s="18">
        <v>84</v>
      </c>
      <c r="DS15" s="18"/>
      <c r="DT15" s="18">
        <v>290.4</v>
      </c>
      <c r="DU15" s="18"/>
      <c r="DV15" s="9">
        <v>0</v>
      </c>
      <c r="DW15" s="18"/>
      <c r="DX15" s="109">
        <f t="shared" si="0"/>
        <v>825010.1851967832</v>
      </c>
      <c r="DY15" s="72"/>
      <c r="DZ15" s="54" t="s">
        <v>18</v>
      </c>
      <c r="EA15" s="37">
        <v>40400</v>
      </c>
      <c r="EB15" s="95">
        <v>46000</v>
      </c>
      <c r="EC15" s="18">
        <v>378.653</v>
      </c>
      <c r="ED15" s="18">
        <v>382.584</v>
      </c>
      <c r="EE15" s="9">
        <v>8066.44</v>
      </c>
      <c r="EF15" s="33">
        <v>0</v>
      </c>
      <c r="EG15" s="18">
        <v>34493</v>
      </c>
      <c r="EH15" s="18">
        <v>222.565</v>
      </c>
      <c r="EI15" s="18">
        <v>21868</v>
      </c>
      <c r="EJ15" s="18">
        <v>16145.491</v>
      </c>
      <c r="EK15" s="121">
        <v>0</v>
      </c>
    </row>
    <row r="16" spans="1:141" ht="12.75" hidden="1">
      <c r="A16" s="54" t="s">
        <v>184</v>
      </c>
      <c r="B16" s="33">
        <v>141365.031</v>
      </c>
      <c r="C16" s="89">
        <v>207600.04369020084</v>
      </c>
      <c r="D16" s="89"/>
      <c r="E16" s="89">
        <v>3037.515389999997</v>
      </c>
      <c r="F16" s="89"/>
      <c r="G16" s="90">
        <v>5628.523447500003</v>
      </c>
      <c r="H16" s="89"/>
      <c r="I16" s="90">
        <v>2985.529411764706</v>
      </c>
      <c r="J16" s="33"/>
      <c r="K16" s="20">
        <v>4407.612</v>
      </c>
      <c r="L16" s="33"/>
      <c r="M16" s="20">
        <v>0</v>
      </c>
      <c r="N16" s="33"/>
      <c r="O16" s="20">
        <v>1731.651</v>
      </c>
      <c r="P16" s="33"/>
      <c r="Q16" s="20">
        <v>346.711</v>
      </c>
      <c r="R16" s="18"/>
      <c r="S16" s="61">
        <v>325</v>
      </c>
      <c r="T16" s="61">
        <v>160</v>
      </c>
      <c r="U16" s="18"/>
      <c r="V16" s="9">
        <v>2686</v>
      </c>
      <c r="W16" s="18"/>
      <c r="X16" s="9">
        <f>1233.521+1333.357</f>
        <v>2566.8779999999997</v>
      </c>
      <c r="Y16" s="18"/>
      <c r="Z16" s="9">
        <v>16427.55</v>
      </c>
      <c r="AA16" s="18"/>
      <c r="AB16" s="33"/>
      <c r="AC16" s="9">
        <v>73110.444</v>
      </c>
      <c r="AD16" s="61">
        <v>16266.627</v>
      </c>
      <c r="AE16" s="61">
        <f t="shared" si="1"/>
        <v>89377.071</v>
      </c>
      <c r="AF16" s="37"/>
      <c r="AG16" s="9">
        <v>37602.323</v>
      </c>
      <c r="AH16" s="162">
        <v>10578.338</v>
      </c>
      <c r="AI16" s="18"/>
      <c r="AJ16" s="9">
        <v>16441.924</v>
      </c>
      <c r="AK16" s="9">
        <v>260.486</v>
      </c>
      <c r="AL16" s="162">
        <v>2398.294</v>
      </c>
      <c r="AM16" s="33"/>
      <c r="AN16" s="162">
        <v>3209.375</v>
      </c>
      <c r="AO16" s="18"/>
      <c r="AP16" s="9">
        <v>175.966</v>
      </c>
      <c r="AQ16" s="18"/>
      <c r="AR16" s="37">
        <v>2683.8360897701045</v>
      </c>
      <c r="AS16" s="37"/>
      <c r="AT16" s="9">
        <v>1879.421</v>
      </c>
      <c r="AU16" s="9"/>
      <c r="AV16" s="162">
        <v>350.357</v>
      </c>
      <c r="AW16" s="9"/>
      <c r="AX16" s="162">
        <v>242.913</v>
      </c>
      <c r="AY16" s="37"/>
      <c r="AZ16" s="67">
        <v>3.17</v>
      </c>
      <c r="BA16" s="37"/>
      <c r="BB16" s="9">
        <v>0</v>
      </c>
      <c r="BC16" s="37"/>
      <c r="BD16" s="9">
        <v>123508</v>
      </c>
      <c r="BE16" s="37"/>
      <c r="BF16" s="9">
        <v>111026.519</v>
      </c>
      <c r="BG16" s="18"/>
      <c r="BH16" s="20">
        <v>13888.38</v>
      </c>
      <c r="BI16" s="33"/>
      <c r="BJ16" s="20">
        <v>19500</v>
      </c>
      <c r="BK16" s="33"/>
      <c r="BL16" s="9">
        <v>19433.4</v>
      </c>
      <c r="BM16" s="18"/>
      <c r="BN16" s="18">
        <v>607</v>
      </c>
      <c r="BO16" s="18"/>
      <c r="BP16" s="9">
        <v>8089.022</v>
      </c>
      <c r="BQ16" s="18"/>
      <c r="BR16" s="20">
        <v>22022</v>
      </c>
      <c r="BS16" s="33"/>
      <c r="BT16" s="33">
        <v>9593.5</v>
      </c>
      <c r="BU16" s="33">
        <v>0</v>
      </c>
      <c r="BV16" s="33"/>
      <c r="BW16" s="9">
        <v>567.845</v>
      </c>
      <c r="BX16" s="33"/>
      <c r="BY16" s="9">
        <v>248.214</v>
      </c>
      <c r="BZ16" s="18"/>
      <c r="CA16" s="9">
        <v>119.726</v>
      </c>
      <c r="CB16" s="18"/>
      <c r="CC16" s="9">
        <v>238.855</v>
      </c>
      <c r="CD16" s="18"/>
      <c r="CE16" s="18">
        <v>1056.9499999999998</v>
      </c>
      <c r="CF16" s="18"/>
      <c r="CG16" s="61">
        <v>215.765</v>
      </c>
      <c r="CH16" s="18"/>
      <c r="CI16" s="9">
        <v>27019.862</v>
      </c>
      <c r="CJ16" s="18"/>
      <c r="CK16" s="9">
        <v>4896.122</v>
      </c>
      <c r="CL16" s="20">
        <v>0</v>
      </c>
      <c r="CM16" s="18"/>
      <c r="CN16" s="9">
        <v>11644.346</v>
      </c>
      <c r="CO16" s="18"/>
      <c r="CP16" s="9">
        <v>7489.476</v>
      </c>
      <c r="CQ16" s="9"/>
      <c r="CR16" s="9">
        <v>40916.923</v>
      </c>
      <c r="CS16" s="9"/>
      <c r="CT16" s="9">
        <v>2616.843</v>
      </c>
      <c r="CU16" s="18"/>
      <c r="CV16" s="9">
        <v>0</v>
      </c>
      <c r="CW16" s="18"/>
      <c r="CX16" s="9">
        <v>539</v>
      </c>
      <c r="CY16" s="9">
        <v>770.857</v>
      </c>
      <c r="CZ16" s="18"/>
      <c r="DA16" s="13">
        <v>0</v>
      </c>
      <c r="DB16" s="18"/>
      <c r="DC16" s="9">
        <v>806.053</v>
      </c>
      <c r="DD16" s="18"/>
      <c r="DE16" s="9">
        <v>11741.539</v>
      </c>
      <c r="DF16" s="18"/>
      <c r="DG16" s="70">
        <v>1973.784</v>
      </c>
      <c r="DH16" s="71"/>
      <c r="DI16" s="9">
        <v>1427.427</v>
      </c>
      <c r="DJ16" s="18"/>
      <c r="DK16" s="9">
        <v>137.479</v>
      </c>
      <c r="DL16" s="18"/>
      <c r="DM16" s="9">
        <v>1542.94</v>
      </c>
      <c r="DN16" s="9">
        <v>3969.821</v>
      </c>
      <c r="DO16" s="18"/>
      <c r="DP16" s="9">
        <v>3792.823</v>
      </c>
      <c r="DQ16" s="18"/>
      <c r="DR16" s="18">
        <v>56</v>
      </c>
      <c r="DS16" s="18"/>
      <c r="DT16" s="18">
        <v>290</v>
      </c>
      <c r="DU16" s="18"/>
      <c r="DV16" s="9">
        <v>0</v>
      </c>
      <c r="DW16" s="18"/>
      <c r="DX16" s="109">
        <f t="shared" si="0"/>
        <v>1006217.9900292358</v>
      </c>
      <c r="DY16" s="72"/>
      <c r="DZ16" s="54" t="s">
        <v>19</v>
      </c>
      <c r="EA16" s="37">
        <v>93600</v>
      </c>
      <c r="EB16" s="95">
        <v>63000</v>
      </c>
      <c r="EC16" s="18">
        <v>525.746</v>
      </c>
      <c r="ED16" s="18">
        <v>531.204</v>
      </c>
      <c r="EE16" s="9">
        <v>15393.333</v>
      </c>
      <c r="EF16" s="33">
        <v>0</v>
      </c>
      <c r="EG16" s="18">
        <v>42437</v>
      </c>
      <c r="EH16" s="18">
        <v>1505.777</v>
      </c>
      <c r="EI16" s="18">
        <v>9211</v>
      </c>
      <c r="EJ16" s="18">
        <v>46304.908</v>
      </c>
      <c r="EK16" s="121">
        <v>0</v>
      </c>
    </row>
    <row r="17" spans="1:141" ht="12.75" hidden="1">
      <c r="A17" s="55" t="s">
        <v>20</v>
      </c>
      <c r="B17" s="22">
        <v>1856911.545</v>
      </c>
      <c r="C17" s="91">
        <v>2666664.943048964</v>
      </c>
      <c r="D17" s="89"/>
      <c r="E17" s="91">
        <v>9918.417599999997</v>
      </c>
      <c r="F17" s="89"/>
      <c r="G17" s="92">
        <v>12395.935394499005</v>
      </c>
      <c r="H17" s="89"/>
      <c r="I17" s="92">
        <v>100160.82352941176</v>
      </c>
      <c r="J17" s="34"/>
      <c r="K17" s="21">
        <v>41038.412</v>
      </c>
      <c r="L17" s="34"/>
      <c r="M17" s="21">
        <v>10107.586</v>
      </c>
      <c r="N17" s="34"/>
      <c r="O17" s="21">
        <v>17616.277</v>
      </c>
      <c r="P17" s="34"/>
      <c r="Q17" s="21">
        <v>10461.206</v>
      </c>
      <c r="R17" s="37"/>
      <c r="S17" s="10">
        <v>4842.845</v>
      </c>
      <c r="T17" s="10">
        <v>2384.17</v>
      </c>
      <c r="U17" s="37"/>
      <c r="V17" s="10">
        <v>105331</v>
      </c>
      <c r="W17" s="37"/>
      <c r="X17" s="10">
        <f>12927.608+13811.382</f>
        <v>26738.989999999998</v>
      </c>
      <c r="Y17" s="37"/>
      <c r="Z17" s="10">
        <v>29060.46</v>
      </c>
      <c r="AA17" s="37"/>
      <c r="AB17" s="34"/>
      <c r="AC17" s="11">
        <v>2208839.244</v>
      </c>
      <c r="AD17" s="10">
        <v>491453.23</v>
      </c>
      <c r="AE17" s="10">
        <f t="shared" si="1"/>
        <v>2700292.474</v>
      </c>
      <c r="AF17" s="37"/>
      <c r="AG17" s="10">
        <v>490575.352</v>
      </c>
      <c r="AH17" s="142">
        <v>144035.059</v>
      </c>
      <c r="AI17" s="37"/>
      <c r="AJ17" s="10">
        <v>627262.665</v>
      </c>
      <c r="AK17" s="10">
        <v>19700.808</v>
      </c>
      <c r="AL17" s="142">
        <v>24291.623</v>
      </c>
      <c r="AM17" s="33"/>
      <c r="AN17" s="142">
        <v>30195.95</v>
      </c>
      <c r="AO17" s="37"/>
      <c r="AP17" s="10">
        <v>3124.358</v>
      </c>
      <c r="AQ17" s="37"/>
      <c r="AR17" s="10">
        <v>8228.762938318136</v>
      </c>
      <c r="AS17" s="37"/>
      <c r="AT17" s="10">
        <v>32158.84</v>
      </c>
      <c r="AU17" s="37"/>
      <c r="AV17" s="142">
        <v>5131.344</v>
      </c>
      <c r="AW17" s="37"/>
      <c r="AX17" s="142">
        <v>810.417</v>
      </c>
      <c r="AY17" s="37"/>
      <c r="AZ17" s="73">
        <v>2549.536</v>
      </c>
      <c r="BA17" s="37"/>
      <c r="BB17" s="10">
        <v>0</v>
      </c>
      <c r="BC17" s="37"/>
      <c r="BD17" s="10">
        <v>1346735</v>
      </c>
      <c r="BE17" s="37"/>
      <c r="BF17" s="10">
        <v>310785.947</v>
      </c>
      <c r="BG17" s="37"/>
      <c r="BH17" s="21">
        <v>5410.766</v>
      </c>
      <c r="BI17" s="34"/>
      <c r="BJ17" s="21">
        <v>88074</v>
      </c>
      <c r="BK17" s="34"/>
      <c r="BL17" s="10">
        <v>133622.6</v>
      </c>
      <c r="BM17" s="37"/>
      <c r="BN17" s="10">
        <v>11276</v>
      </c>
      <c r="BO17" s="37"/>
      <c r="BP17" s="10">
        <v>175984.474</v>
      </c>
      <c r="BQ17" s="37"/>
      <c r="BR17" s="21">
        <v>126089</v>
      </c>
      <c r="BS17" s="34"/>
      <c r="BT17" s="21">
        <v>30401.6</v>
      </c>
      <c r="BU17" s="21">
        <f>168643.4-30401.6</f>
        <v>138241.8</v>
      </c>
      <c r="BV17" s="34"/>
      <c r="BW17" s="10">
        <v>17585.466</v>
      </c>
      <c r="BX17" s="34"/>
      <c r="BY17" s="10">
        <v>6162.59</v>
      </c>
      <c r="BZ17" s="37"/>
      <c r="CA17" s="10">
        <v>2778.786</v>
      </c>
      <c r="CB17" s="37"/>
      <c r="CC17" s="10">
        <v>5543.667</v>
      </c>
      <c r="CD17" s="37"/>
      <c r="CE17" s="10">
        <v>20376.203</v>
      </c>
      <c r="CF17" s="37"/>
      <c r="CG17" s="10">
        <v>5403.28</v>
      </c>
      <c r="CH17" s="37"/>
      <c r="CI17" s="10">
        <v>85505.627</v>
      </c>
      <c r="CJ17" s="37"/>
      <c r="CK17" s="10">
        <v>35164.051</v>
      </c>
      <c r="CL17" s="10">
        <v>7530.194</v>
      </c>
      <c r="CM17" s="37"/>
      <c r="CN17" s="10">
        <v>101134.952</v>
      </c>
      <c r="CO17" s="37"/>
      <c r="CP17" s="10">
        <v>65297.986</v>
      </c>
      <c r="CQ17" s="37"/>
      <c r="CR17" s="10">
        <v>89898.307</v>
      </c>
      <c r="CS17" s="37"/>
      <c r="CT17" s="10">
        <v>0</v>
      </c>
      <c r="CU17" s="37"/>
      <c r="CV17" s="10">
        <v>742.562</v>
      </c>
      <c r="CW17" s="37"/>
      <c r="CX17" s="10">
        <v>1712</v>
      </c>
      <c r="CY17" s="10">
        <v>3050.799</v>
      </c>
      <c r="CZ17" s="37"/>
      <c r="DA17" s="11">
        <v>2448.628</v>
      </c>
      <c r="DB17" s="37"/>
      <c r="DC17" s="10">
        <v>6976.652</v>
      </c>
      <c r="DD17" s="37"/>
      <c r="DE17" s="10">
        <v>81537.096</v>
      </c>
      <c r="DF17" s="37"/>
      <c r="DG17" s="74">
        <v>31733.965</v>
      </c>
      <c r="DH17" s="71"/>
      <c r="DI17" s="10">
        <v>22146.579</v>
      </c>
      <c r="DJ17" s="37"/>
      <c r="DK17" s="10">
        <v>1399.963</v>
      </c>
      <c r="DL17" s="37"/>
      <c r="DM17" s="10">
        <v>19448.002</v>
      </c>
      <c r="DN17" s="10">
        <v>42873.265</v>
      </c>
      <c r="DO17" s="37"/>
      <c r="DP17" s="10">
        <v>80551.937</v>
      </c>
      <c r="DQ17" s="37"/>
      <c r="DR17" s="10">
        <v>1771</v>
      </c>
      <c r="DS17" s="37"/>
      <c r="DT17" s="10">
        <v>393.7</v>
      </c>
      <c r="DU17" s="37"/>
      <c r="DV17" s="10">
        <v>3250</v>
      </c>
      <c r="DW17" s="37"/>
      <c r="DX17" s="110">
        <f t="shared" si="0"/>
        <v>12091028.243511196</v>
      </c>
      <c r="DY17" s="72"/>
      <c r="DZ17" s="55" t="s">
        <v>20</v>
      </c>
      <c r="EA17" s="10">
        <v>1419300</v>
      </c>
      <c r="EB17" s="102">
        <v>879000</v>
      </c>
      <c r="EC17" s="10">
        <v>10135.495</v>
      </c>
      <c r="ED17" s="10">
        <v>10240.708</v>
      </c>
      <c r="EE17" s="10">
        <v>34996.726</v>
      </c>
      <c r="EF17" s="22">
        <v>543</v>
      </c>
      <c r="EG17" s="10">
        <v>504660.643</v>
      </c>
      <c r="EH17" s="10">
        <v>4916.822</v>
      </c>
      <c r="EI17" s="10">
        <v>0</v>
      </c>
      <c r="EJ17" s="10">
        <v>281170.06</v>
      </c>
      <c r="EK17" s="183">
        <v>2008</v>
      </c>
    </row>
    <row r="18" spans="1:141" ht="12.75" hidden="1">
      <c r="A18" s="54" t="s">
        <v>21</v>
      </c>
      <c r="B18" s="33">
        <v>706961.122</v>
      </c>
      <c r="C18" s="89">
        <v>995522.8538986284</v>
      </c>
      <c r="D18" s="89"/>
      <c r="E18" s="89">
        <v>13327.873649999969</v>
      </c>
      <c r="F18" s="89"/>
      <c r="G18" s="90">
        <v>10138.797327300004</v>
      </c>
      <c r="H18" s="89"/>
      <c r="I18" s="90">
        <v>43257.17647058823</v>
      </c>
      <c r="J18" s="33"/>
      <c r="K18" s="20">
        <v>16399.468</v>
      </c>
      <c r="L18" s="33"/>
      <c r="M18" s="20">
        <v>4936.69</v>
      </c>
      <c r="N18" s="33"/>
      <c r="O18" s="20">
        <v>6964.291</v>
      </c>
      <c r="P18" s="33"/>
      <c r="Q18" s="20">
        <v>6286.143</v>
      </c>
      <c r="R18" s="18"/>
      <c r="S18" s="61">
        <v>1625.678</v>
      </c>
      <c r="T18" s="61">
        <v>800.334</v>
      </c>
      <c r="U18" s="18"/>
      <c r="V18" s="9">
        <v>82847</v>
      </c>
      <c r="W18" s="18"/>
      <c r="X18" s="9">
        <f>8278.664+9066.634</f>
        <v>17345.298000000003</v>
      </c>
      <c r="Y18" s="18"/>
      <c r="Z18" s="9">
        <v>26896.18</v>
      </c>
      <c r="AA18" s="18"/>
      <c r="AB18" s="33"/>
      <c r="AC18" s="9">
        <v>1260799.095</v>
      </c>
      <c r="AD18" s="61">
        <v>280520.092</v>
      </c>
      <c r="AE18" s="61">
        <f t="shared" si="1"/>
        <v>1541319.187</v>
      </c>
      <c r="AF18" s="37"/>
      <c r="AG18" s="9">
        <v>351008.292</v>
      </c>
      <c r="AH18" s="162">
        <v>103911.508</v>
      </c>
      <c r="AI18" s="18"/>
      <c r="AJ18" s="9">
        <v>313758.336</v>
      </c>
      <c r="AK18" s="9">
        <v>10449.347</v>
      </c>
      <c r="AL18" s="162">
        <v>15925.491</v>
      </c>
      <c r="AM18" s="33"/>
      <c r="AN18" s="162">
        <v>22044.403</v>
      </c>
      <c r="AO18" s="18"/>
      <c r="AP18" s="9">
        <v>1873.212</v>
      </c>
      <c r="AQ18" s="18"/>
      <c r="AR18" s="37">
        <v>4592.906873486561</v>
      </c>
      <c r="AS18" s="37"/>
      <c r="AT18" s="9">
        <v>18686.184</v>
      </c>
      <c r="AU18" s="9"/>
      <c r="AV18" s="162">
        <v>2683.51</v>
      </c>
      <c r="AW18" s="9"/>
      <c r="AX18" s="162">
        <v>423.82</v>
      </c>
      <c r="AY18" s="37"/>
      <c r="AZ18" s="67">
        <v>940.207</v>
      </c>
      <c r="BA18" s="37"/>
      <c r="BB18" s="9">
        <v>1611.497</v>
      </c>
      <c r="BC18" s="37"/>
      <c r="BD18" s="9">
        <v>931586</v>
      </c>
      <c r="BE18" s="37"/>
      <c r="BF18" s="9">
        <v>136180.67200000002</v>
      </c>
      <c r="BG18" s="18"/>
      <c r="BH18" s="20">
        <v>7380.854</v>
      </c>
      <c r="BI18" s="33"/>
      <c r="BJ18" s="20">
        <v>54775</v>
      </c>
      <c r="BK18" s="33"/>
      <c r="BL18" s="9">
        <v>66930.6</v>
      </c>
      <c r="BM18" s="18"/>
      <c r="BN18" s="18">
        <v>4970</v>
      </c>
      <c r="BO18" s="18"/>
      <c r="BP18" s="9">
        <v>124756.312</v>
      </c>
      <c r="BQ18" s="18"/>
      <c r="BR18" s="20">
        <v>82495</v>
      </c>
      <c r="BS18" s="33"/>
      <c r="BT18" s="33">
        <v>21630.7</v>
      </c>
      <c r="BU18" s="33">
        <f>67187.6-BT18</f>
        <v>45556.90000000001</v>
      </c>
      <c r="BV18" s="33"/>
      <c r="BW18" s="9">
        <v>9293.167</v>
      </c>
      <c r="BX18" s="33"/>
      <c r="BY18" s="9">
        <v>3261.412</v>
      </c>
      <c r="BZ18" s="18"/>
      <c r="CA18" s="9">
        <v>1628.536</v>
      </c>
      <c r="CB18" s="18"/>
      <c r="CC18" s="9">
        <v>3248.917</v>
      </c>
      <c r="CD18" s="18"/>
      <c r="CE18" s="18">
        <v>10373.011</v>
      </c>
      <c r="CF18" s="18"/>
      <c r="CG18" s="61">
        <v>4420.793</v>
      </c>
      <c r="CH18" s="18"/>
      <c r="CI18" s="9">
        <v>112675.806</v>
      </c>
      <c r="CJ18" s="18"/>
      <c r="CK18" s="9">
        <v>11108.569</v>
      </c>
      <c r="CL18" s="9">
        <v>10866.994</v>
      </c>
      <c r="CM18" s="18"/>
      <c r="CN18" s="9">
        <v>54481.68</v>
      </c>
      <c r="CO18" s="18"/>
      <c r="CP18" s="9">
        <v>33624.789</v>
      </c>
      <c r="CQ18" s="9"/>
      <c r="CR18" s="9">
        <v>44627.882</v>
      </c>
      <c r="CS18" s="9"/>
      <c r="CT18" s="9">
        <v>0</v>
      </c>
      <c r="CU18" s="18"/>
      <c r="CV18" s="9">
        <v>0</v>
      </c>
      <c r="CW18" s="18"/>
      <c r="CX18" s="9">
        <v>1141</v>
      </c>
      <c r="CY18" s="9">
        <v>1015.976</v>
      </c>
      <c r="CZ18" s="18"/>
      <c r="DA18" s="37">
        <v>947.058</v>
      </c>
      <c r="DB18" s="18"/>
      <c r="DC18" s="9">
        <v>3973.732</v>
      </c>
      <c r="DD18" s="18"/>
      <c r="DE18" s="9">
        <v>36210.659</v>
      </c>
      <c r="DF18" s="18"/>
      <c r="DG18" s="70">
        <v>15734.725</v>
      </c>
      <c r="DH18" s="71"/>
      <c r="DI18" s="9">
        <v>11711.489</v>
      </c>
      <c r="DJ18" s="18"/>
      <c r="DK18" s="9">
        <v>526.68</v>
      </c>
      <c r="DL18" s="18"/>
      <c r="DM18" s="9">
        <v>13119.015</v>
      </c>
      <c r="DN18" s="9">
        <v>31361.665</v>
      </c>
      <c r="DO18" s="18"/>
      <c r="DP18" s="9">
        <v>43801.838</v>
      </c>
      <c r="DQ18" s="18"/>
      <c r="DR18" s="61">
        <v>1037</v>
      </c>
      <c r="DS18" s="18"/>
      <c r="DT18" s="18">
        <v>342</v>
      </c>
      <c r="DU18" s="18"/>
      <c r="DV18" s="9">
        <v>715</v>
      </c>
      <c r="DW18" s="18"/>
      <c r="DX18" s="109">
        <f t="shared" si="0"/>
        <v>6260048.237220006</v>
      </c>
      <c r="DY18" s="72"/>
      <c r="DZ18" s="54" t="s">
        <v>21</v>
      </c>
      <c r="EA18" s="37">
        <v>887300</v>
      </c>
      <c r="EB18" s="95">
        <v>666000</v>
      </c>
      <c r="EC18" s="61">
        <v>5159.725</v>
      </c>
      <c r="ED18" s="61">
        <v>5213.286</v>
      </c>
      <c r="EE18" s="9">
        <v>15193.861</v>
      </c>
      <c r="EF18" s="33">
        <v>100</v>
      </c>
      <c r="EG18" s="61">
        <v>195029</v>
      </c>
      <c r="EH18" s="61">
        <v>6606.98</v>
      </c>
      <c r="EI18" s="61">
        <v>220286</v>
      </c>
      <c r="EJ18" s="61">
        <v>165370.87</v>
      </c>
      <c r="EK18" s="119">
        <v>16115</v>
      </c>
    </row>
    <row r="19" spans="1:141" ht="12.75" hidden="1">
      <c r="A19" s="54" t="s">
        <v>22</v>
      </c>
      <c r="B19" s="33">
        <v>171369.033</v>
      </c>
      <c r="C19" s="89">
        <v>222142.25733063082</v>
      </c>
      <c r="D19" s="89"/>
      <c r="E19" s="89">
        <v>506.25</v>
      </c>
      <c r="F19" s="89"/>
      <c r="G19" s="90">
        <v>5550.638336085001</v>
      </c>
      <c r="H19" s="89"/>
      <c r="I19" s="90">
        <v>5971.058823529412</v>
      </c>
      <c r="J19" s="33"/>
      <c r="K19" s="20">
        <v>8550.05</v>
      </c>
      <c r="L19" s="33"/>
      <c r="M19" s="20">
        <v>0</v>
      </c>
      <c r="N19" s="33"/>
      <c r="O19" s="20">
        <v>3160.689</v>
      </c>
      <c r="P19" s="33"/>
      <c r="Q19" s="20">
        <v>988.99</v>
      </c>
      <c r="R19" s="18"/>
      <c r="S19" s="61">
        <v>325</v>
      </c>
      <c r="T19" s="61">
        <v>160</v>
      </c>
      <c r="U19" s="18"/>
      <c r="V19" s="9">
        <v>6449</v>
      </c>
      <c r="W19" s="18"/>
      <c r="X19" s="9">
        <f>1124.376+1213.54</f>
        <v>2337.916</v>
      </c>
      <c r="Y19" s="18"/>
      <c r="Z19" s="9">
        <v>5000</v>
      </c>
      <c r="AA19" s="18"/>
      <c r="AB19" s="33"/>
      <c r="AC19" s="9">
        <v>157201.741</v>
      </c>
      <c r="AD19" s="61">
        <v>34976.427</v>
      </c>
      <c r="AE19" s="61">
        <f t="shared" si="1"/>
        <v>192178.168</v>
      </c>
      <c r="AF19" s="37"/>
      <c r="AG19" s="9">
        <v>33171.874</v>
      </c>
      <c r="AH19" s="162">
        <v>9312.839</v>
      </c>
      <c r="AI19" s="18"/>
      <c r="AJ19" s="9">
        <v>39925.269</v>
      </c>
      <c r="AK19" s="9">
        <v>1061.069</v>
      </c>
      <c r="AL19" s="162">
        <v>2398.294</v>
      </c>
      <c r="AM19" s="33"/>
      <c r="AN19" s="162">
        <v>3209.375</v>
      </c>
      <c r="AO19" s="18"/>
      <c r="AP19" s="9">
        <v>175.966</v>
      </c>
      <c r="AQ19" s="18"/>
      <c r="AR19" s="37">
        <v>450.1288375878507</v>
      </c>
      <c r="AS19" s="37"/>
      <c r="AT19" s="9">
        <v>2249.15</v>
      </c>
      <c r="AU19" s="9"/>
      <c r="AV19" s="162">
        <v>350.357</v>
      </c>
      <c r="AW19" s="9"/>
      <c r="AX19" s="162">
        <v>242.913</v>
      </c>
      <c r="AY19" s="37"/>
      <c r="AZ19" s="67">
        <v>87.883</v>
      </c>
      <c r="BA19" s="37"/>
      <c r="BB19" s="9">
        <v>0</v>
      </c>
      <c r="BC19" s="37"/>
      <c r="BD19" s="9">
        <v>125746</v>
      </c>
      <c r="BE19" s="37"/>
      <c r="BF19" s="9">
        <v>43582.582</v>
      </c>
      <c r="BG19" s="18"/>
      <c r="BH19" s="20">
        <v>254.793</v>
      </c>
      <c r="BI19" s="33"/>
      <c r="BJ19" s="20">
        <v>19500</v>
      </c>
      <c r="BK19" s="33"/>
      <c r="BL19" s="9">
        <v>30658.9</v>
      </c>
      <c r="BM19" s="18"/>
      <c r="BN19" s="18">
        <v>1317</v>
      </c>
      <c r="BO19" s="18"/>
      <c r="BP19" s="9">
        <v>4041.461</v>
      </c>
      <c r="BQ19" s="18"/>
      <c r="BR19" s="20">
        <v>25930</v>
      </c>
      <c r="BS19" s="33"/>
      <c r="BT19" s="33">
        <v>9593.5</v>
      </c>
      <c r="BU19" s="33">
        <f>15068.2-BT19</f>
        <v>5474.700000000001</v>
      </c>
      <c r="BV19" s="33"/>
      <c r="BW19" s="9">
        <v>1235.985</v>
      </c>
      <c r="BX19" s="33"/>
      <c r="BY19" s="9">
        <v>292.548</v>
      </c>
      <c r="BZ19" s="18"/>
      <c r="CA19" s="9">
        <v>129.34</v>
      </c>
      <c r="CB19" s="18"/>
      <c r="CC19" s="9">
        <v>258.034</v>
      </c>
      <c r="CD19" s="18"/>
      <c r="CE19" s="18">
        <v>1102.949</v>
      </c>
      <c r="CF19" s="18"/>
      <c r="CG19" s="61">
        <v>348.6</v>
      </c>
      <c r="CH19" s="18"/>
      <c r="CI19" s="9">
        <v>16245.443</v>
      </c>
      <c r="CJ19" s="18"/>
      <c r="CK19" s="9">
        <v>4042.19</v>
      </c>
      <c r="CL19" s="20">
        <v>0</v>
      </c>
      <c r="CM19" s="18"/>
      <c r="CN19" s="9">
        <v>9861.61</v>
      </c>
      <c r="CO19" s="18"/>
      <c r="CP19" s="9">
        <v>6182.962</v>
      </c>
      <c r="CQ19" s="9"/>
      <c r="CR19" s="9">
        <v>6117.358</v>
      </c>
      <c r="CS19" s="9"/>
      <c r="CT19" s="9">
        <v>0</v>
      </c>
      <c r="CU19" s="18"/>
      <c r="CV19" s="9">
        <v>0</v>
      </c>
      <c r="CW19" s="18"/>
      <c r="CX19" s="9">
        <v>585</v>
      </c>
      <c r="CY19" s="9">
        <v>115.642</v>
      </c>
      <c r="CZ19" s="18"/>
      <c r="DA19" s="9">
        <v>463.917</v>
      </c>
      <c r="DB19" s="18"/>
      <c r="DC19" s="9">
        <v>1047.877</v>
      </c>
      <c r="DD19" s="18"/>
      <c r="DE19" s="9">
        <v>6424.438</v>
      </c>
      <c r="DF19" s="18"/>
      <c r="DG19" s="70">
        <v>2180.48</v>
      </c>
      <c r="DH19" s="71"/>
      <c r="DI19" s="9">
        <v>1426.246</v>
      </c>
      <c r="DJ19" s="18"/>
      <c r="DK19" s="9">
        <v>507.317</v>
      </c>
      <c r="DL19" s="18"/>
      <c r="DM19" s="9">
        <v>1234.406</v>
      </c>
      <c r="DN19" s="9">
        <v>2918.025</v>
      </c>
      <c r="DO19" s="18"/>
      <c r="DP19" s="9">
        <v>2161.193</v>
      </c>
      <c r="DQ19" s="18"/>
      <c r="DR19" s="61">
        <v>138</v>
      </c>
      <c r="DS19" s="18"/>
      <c r="DT19" s="18">
        <v>292.9</v>
      </c>
      <c r="DU19" s="18"/>
      <c r="DV19" s="9">
        <v>0</v>
      </c>
      <c r="DW19" s="18"/>
      <c r="DX19" s="109">
        <f t="shared" si="0"/>
        <v>1048735.564327833</v>
      </c>
      <c r="DY19" s="72"/>
      <c r="DZ19" s="54" t="s">
        <v>22</v>
      </c>
      <c r="EA19" s="37">
        <v>52600</v>
      </c>
      <c r="EB19" s="95">
        <v>66000</v>
      </c>
      <c r="EC19" s="61">
        <v>548.627</v>
      </c>
      <c r="ED19" s="61">
        <v>554.322</v>
      </c>
      <c r="EE19" s="9">
        <v>850</v>
      </c>
      <c r="EF19" s="33">
        <v>192.574</v>
      </c>
      <c r="EG19" s="61">
        <v>27269</v>
      </c>
      <c r="EH19" s="61">
        <v>0</v>
      </c>
      <c r="EI19" s="61">
        <f>10176+20351</f>
        <v>30527</v>
      </c>
      <c r="EJ19" s="61">
        <v>49452.394</v>
      </c>
      <c r="EK19" s="119">
        <v>483</v>
      </c>
    </row>
    <row r="20" spans="1:141" ht="12.75" hidden="1">
      <c r="A20" s="54" t="s">
        <v>23</v>
      </c>
      <c r="B20" s="33">
        <v>115312.212</v>
      </c>
      <c r="C20" s="89">
        <v>176497.98875883376</v>
      </c>
      <c r="D20" s="89"/>
      <c r="E20" s="89">
        <v>402.5530749999998</v>
      </c>
      <c r="F20" s="89"/>
      <c r="G20" s="90">
        <v>1474.1674945800019</v>
      </c>
      <c r="H20" s="89"/>
      <c r="I20" s="90">
        <v>9581.64705882353</v>
      </c>
      <c r="J20" s="33"/>
      <c r="K20" s="20">
        <v>6508.696</v>
      </c>
      <c r="L20" s="33"/>
      <c r="M20" s="20">
        <v>0</v>
      </c>
      <c r="N20" s="33"/>
      <c r="O20" s="20">
        <v>2767.698</v>
      </c>
      <c r="P20" s="33"/>
      <c r="Q20" s="20">
        <v>839.404</v>
      </c>
      <c r="R20" s="18"/>
      <c r="S20" s="61">
        <v>325</v>
      </c>
      <c r="T20" s="61">
        <v>160</v>
      </c>
      <c r="U20" s="18"/>
      <c r="V20" s="9">
        <v>11946</v>
      </c>
      <c r="W20" s="18"/>
      <c r="X20" s="9">
        <f>1120.825+1108.046</f>
        <v>2228.871</v>
      </c>
      <c r="Y20" s="18"/>
      <c r="Z20" s="9">
        <v>4945.865</v>
      </c>
      <c r="AA20" s="18"/>
      <c r="AB20" s="33"/>
      <c r="AC20" s="9">
        <v>201699.682</v>
      </c>
      <c r="AD20" s="61">
        <v>44876.946</v>
      </c>
      <c r="AE20" s="61">
        <f t="shared" si="1"/>
        <v>246576.628</v>
      </c>
      <c r="AF20" s="37"/>
      <c r="AG20" s="9">
        <v>34955.709</v>
      </c>
      <c r="AH20" s="162">
        <v>10650.687</v>
      </c>
      <c r="AI20" s="18"/>
      <c r="AJ20" s="9">
        <v>53247.375</v>
      </c>
      <c r="AK20" s="9">
        <v>2268.765</v>
      </c>
      <c r="AL20" s="162">
        <v>2689.423</v>
      </c>
      <c r="AM20" s="33"/>
      <c r="AN20" s="162">
        <v>3209.375</v>
      </c>
      <c r="AO20" s="18"/>
      <c r="AP20" s="9">
        <v>212.196</v>
      </c>
      <c r="AQ20" s="18"/>
      <c r="AR20" s="37">
        <v>543.4465165827833</v>
      </c>
      <c r="AS20" s="37"/>
      <c r="AT20" s="9">
        <v>3299.632</v>
      </c>
      <c r="AU20" s="9"/>
      <c r="AV20" s="162">
        <v>350.357</v>
      </c>
      <c r="AW20" s="9"/>
      <c r="AX20" s="162">
        <v>242.913</v>
      </c>
      <c r="AY20" s="37"/>
      <c r="AZ20" s="67">
        <v>89.539</v>
      </c>
      <c r="BA20" s="37"/>
      <c r="BB20" s="9">
        <v>94.216</v>
      </c>
      <c r="BC20" s="37"/>
      <c r="BD20" s="9">
        <v>181935</v>
      </c>
      <c r="BE20" s="37"/>
      <c r="BF20" s="9">
        <v>18398.968</v>
      </c>
      <c r="BG20" s="18"/>
      <c r="BH20" s="20">
        <v>0</v>
      </c>
      <c r="BI20" s="33"/>
      <c r="BJ20" s="20">
        <v>19500</v>
      </c>
      <c r="BK20" s="33"/>
      <c r="BL20" s="9">
        <v>19433.4</v>
      </c>
      <c r="BM20" s="18"/>
      <c r="BN20" s="18">
        <v>1284</v>
      </c>
      <c r="BO20" s="18"/>
      <c r="BP20" s="9">
        <v>30341.929</v>
      </c>
      <c r="BQ20" s="18"/>
      <c r="BR20" s="20">
        <v>28572</v>
      </c>
      <c r="BS20" s="33"/>
      <c r="BT20" s="33">
        <v>9593.5</v>
      </c>
      <c r="BU20" s="33">
        <f>16956.7-BT20</f>
        <v>7363.200000000001</v>
      </c>
      <c r="BV20" s="33"/>
      <c r="BW20" s="9">
        <v>1462.054</v>
      </c>
      <c r="BX20" s="33"/>
      <c r="BY20" s="9">
        <v>354.505</v>
      </c>
      <c r="BZ20" s="18"/>
      <c r="CA20" s="9">
        <v>192.892</v>
      </c>
      <c r="CB20" s="18"/>
      <c r="CC20" s="9">
        <v>384.821</v>
      </c>
      <c r="CD20" s="18"/>
      <c r="CE20" s="18">
        <v>1068.999</v>
      </c>
      <c r="CF20" s="18"/>
      <c r="CG20" s="61">
        <v>481.315</v>
      </c>
      <c r="CH20" s="18"/>
      <c r="CI20" s="9">
        <v>1489.82</v>
      </c>
      <c r="CJ20" s="18"/>
      <c r="CK20" s="9">
        <v>956.622</v>
      </c>
      <c r="CL20" s="9">
        <v>2292.438</v>
      </c>
      <c r="CM20" s="18"/>
      <c r="CN20" s="9">
        <v>8753.622</v>
      </c>
      <c r="CO20" s="18"/>
      <c r="CP20" s="9">
        <v>4972.218</v>
      </c>
      <c r="CQ20" s="9"/>
      <c r="CR20" s="9">
        <v>3257.088</v>
      </c>
      <c r="CS20" s="9"/>
      <c r="CT20" s="9">
        <v>0</v>
      </c>
      <c r="CU20" s="18"/>
      <c r="CV20" s="9">
        <v>1663.917</v>
      </c>
      <c r="CW20" s="18"/>
      <c r="CX20" s="9">
        <v>601</v>
      </c>
      <c r="CY20" s="9">
        <v>343.009</v>
      </c>
      <c r="CZ20" s="18"/>
      <c r="DA20" s="9">
        <v>454.294</v>
      </c>
      <c r="DB20" s="18"/>
      <c r="DC20" s="9">
        <v>1125.019</v>
      </c>
      <c r="DD20" s="18"/>
      <c r="DE20" s="9">
        <v>7141.56</v>
      </c>
      <c r="DF20" s="18"/>
      <c r="DG20" s="70">
        <v>2304.345</v>
      </c>
      <c r="DH20" s="71"/>
      <c r="DI20" s="9">
        <v>3586.589</v>
      </c>
      <c r="DJ20" s="18"/>
      <c r="DK20" s="9">
        <v>126.306</v>
      </c>
      <c r="DL20" s="18"/>
      <c r="DM20" s="9">
        <v>1234.406</v>
      </c>
      <c r="DN20" s="9">
        <v>2918.025</v>
      </c>
      <c r="DO20" s="18"/>
      <c r="DP20" s="9">
        <v>2832.818</v>
      </c>
      <c r="DQ20" s="18"/>
      <c r="DR20" s="61">
        <v>0</v>
      </c>
      <c r="DS20" s="18"/>
      <c r="DT20" s="18">
        <v>294.2</v>
      </c>
      <c r="DU20" s="18"/>
      <c r="DV20" s="9">
        <v>0</v>
      </c>
      <c r="DW20" s="18"/>
      <c r="DX20" s="109">
        <f t="shared" si="0"/>
        <v>1058134.24290382</v>
      </c>
      <c r="DY20" s="72"/>
      <c r="DZ20" s="54" t="s">
        <v>23</v>
      </c>
      <c r="EA20" s="37">
        <v>147900</v>
      </c>
      <c r="EB20" s="95">
        <v>65000</v>
      </c>
      <c r="EC20" s="61">
        <v>531.74</v>
      </c>
      <c r="ED20" s="61">
        <v>537.259</v>
      </c>
      <c r="EE20" s="9">
        <v>6092.857</v>
      </c>
      <c r="EF20" s="33">
        <v>0</v>
      </c>
      <c r="EG20" s="61">
        <v>32971</v>
      </c>
      <c r="EH20" s="61">
        <v>404.101</v>
      </c>
      <c r="EI20" s="61">
        <v>32261</v>
      </c>
      <c r="EJ20" s="61">
        <v>15206.281</v>
      </c>
      <c r="EK20" s="119">
        <v>2902</v>
      </c>
    </row>
    <row r="21" spans="1:141" ht="12.75" hidden="1">
      <c r="A21" s="54" t="s">
        <v>24</v>
      </c>
      <c r="B21" s="33">
        <v>1323337.064</v>
      </c>
      <c r="C21" s="89">
        <v>1911284.0225762292</v>
      </c>
      <c r="D21" s="89"/>
      <c r="E21" s="89">
        <v>10662.298919999976</v>
      </c>
      <c r="F21" s="89"/>
      <c r="G21" s="90">
        <v>37159.08132643201</v>
      </c>
      <c r="H21" s="89"/>
      <c r="I21" s="90">
        <v>37002.70588235294</v>
      </c>
      <c r="J21" s="33"/>
      <c r="K21" s="20">
        <v>37435.38</v>
      </c>
      <c r="L21" s="33"/>
      <c r="M21" s="20">
        <v>5200</v>
      </c>
      <c r="N21" s="33"/>
      <c r="O21" s="20">
        <v>15181.564</v>
      </c>
      <c r="P21" s="33"/>
      <c r="Q21" s="20">
        <v>8465.397</v>
      </c>
      <c r="R21" s="18"/>
      <c r="S21" s="61">
        <v>2526.641</v>
      </c>
      <c r="T21" s="61">
        <v>1243.885</v>
      </c>
      <c r="U21" s="18"/>
      <c r="V21" s="9">
        <v>73773</v>
      </c>
      <c r="W21" s="18"/>
      <c r="X21" s="9">
        <f>13302.365+15160.148</f>
        <v>28462.513</v>
      </c>
      <c r="Y21" s="18"/>
      <c r="Z21" s="9">
        <v>47232.781</v>
      </c>
      <c r="AA21" s="18"/>
      <c r="AB21" s="33"/>
      <c r="AC21" s="9">
        <v>1681130.685</v>
      </c>
      <c r="AD21" s="61">
        <v>374041.302</v>
      </c>
      <c r="AE21" s="61">
        <f t="shared" si="1"/>
        <v>2055171.9870000002</v>
      </c>
      <c r="AF21" s="37"/>
      <c r="AG21" s="9">
        <v>420263.561</v>
      </c>
      <c r="AH21" s="162">
        <v>124023.185</v>
      </c>
      <c r="AI21" s="18"/>
      <c r="AJ21" s="9">
        <v>506479.753</v>
      </c>
      <c r="AK21" s="9">
        <v>18311.491</v>
      </c>
      <c r="AL21" s="162">
        <v>19401.942</v>
      </c>
      <c r="AM21" s="33"/>
      <c r="AN21" s="162">
        <v>26497.894</v>
      </c>
      <c r="AO21" s="18"/>
      <c r="AP21" s="9">
        <v>2581.569</v>
      </c>
      <c r="AQ21" s="18"/>
      <c r="AR21" s="37">
        <v>10113.838726673577</v>
      </c>
      <c r="AS21" s="37"/>
      <c r="AT21" s="9">
        <v>20079.289</v>
      </c>
      <c r="AU21" s="9"/>
      <c r="AV21" s="162">
        <v>3613.498</v>
      </c>
      <c r="AW21" s="9"/>
      <c r="AX21" s="162">
        <v>570.697</v>
      </c>
      <c r="AY21" s="37"/>
      <c r="AZ21" s="67">
        <v>1411.724</v>
      </c>
      <c r="BA21" s="37"/>
      <c r="BB21" s="9">
        <v>654.425</v>
      </c>
      <c r="BC21" s="37"/>
      <c r="BD21" s="9">
        <v>935593</v>
      </c>
      <c r="BE21" s="37"/>
      <c r="BF21" s="9">
        <v>371448.88399999996</v>
      </c>
      <c r="BG21" s="18"/>
      <c r="BH21" s="20">
        <v>96088.797</v>
      </c>
      <c r="BI21" s="33"/>
      <c r="BJ21" s="20">
        <v>79538</v>
      </c>
      <c r="BK21" s="33"/>
      <c r="BL21" s="9">
        <v>179033.4</v>
      </c>
      <c r="BM21" s="18"/>
      <c r="BN21" s="18">
        <v>7402</v>
      </c>
      <c r="BO21" s="18"/>
      <c r="BP21" s="9">
        <v>242526.619</v>
      </c>
      <c r="BQ21" s="18"/>
      <c r="BR21" s="20">
        <v>101321</v>
      </c>
      <c r="BS21" s="33"/>
      <c r="BT21" s="33">
        <v>21834.6</v>
      </c>
      <c r="BU21" s="33">
        <f>112175.6-BT21</f>
        <v>90341</v>
      </c>
      <c r="BV21" s="33"/>
      <c r="BW21" s="9">
        <v>12378.644</v>
      </c>
      <c r="BX21" s="33"/>
      <c r="BY21" s="9">
        <v>4735.727</v>
      </c>
      <c r="BZ21" s="18"/>
      <c r="CA21" s="9">
        <v>2120.096</v>
      </c>
      <c r="CB21" s="18"/>
      <c r="CC21" s="9">
        <v>4229.591</v>
      </c>
      <c r="CD21" s="18"/>
      <c r="CE21" s="18">
        <v>12129.279999999999</v>
      </c>
      <c r="CF21" s="18"/>
      <c r="CG21" s="61">
        <v>3657.3</v>
      </c>
      <c r="CH21" s="18"/>
      <c r="CI21" s="9">
        <v>221498.521</v>
      </c>
      <c r="CJ21" s="18"/>
      <c r="CK21" s="9">
        <v>37736.243</v>
      </c>
      <c r="CL21" s="9">
        <v>8585.276</v>
      </c>
      <c r="CM21" s="18"/>
      <c r="CN21" s="9">
        <v>94676.979</v>
      </c>
      <c r="CO21" s="18"/>
      <c r="CP21" s="9">
        <v>70865.285</v>
      </c>
      <c r="CQ21" s="9"/>
      <c r="CR21" s="9">
        <v>103309.941</v>
      </c>
      <c r="CS21" s="9"/>
      <c r="CT21" s="9">
        <v>3088.652</v>
      </c>
      <c r="CU21" s="18"/>
      <c r="CV21" s="9">
        <v>0</v>
      </c>
      <c r="CW21" s="18"/>
      <c r="CX21" s="9">
        <v>1353</v>
      </c>
      <c r="CY21" s="9">
        <v>3029.132</v>
      </c>
      <c r="CZ21" s="18"/>
      <c r="DA21" s="9">
        <v>1529.046</v>
      </c>
      <c r="DB21" s="18"/>
      <c r="DC21" s="9">
        <v>5094.365</v>
      </c>
      <c r="DD21" s="18"/>
      <c r="DE21" s="9">
        <v>50198.081</v>
      </c>
      <c r="DF21" s="18"/>
      <c r="DG21" s="75">
        <v>21510.763</v>
      </c>
      <c r="DH21" s="71"/>
      <c r="DI21" s="9">
        <v>16567.244</v>
      </c>
      <c r="DJ21" s="18"/>
      <c r="DK21" s="9">
        <v>923.627</v>
      </c>
      <c r="DL21" s="18"/>
      <c r="DM21" s="9">
        <v>25790.612</v>
      </c>
      <c r="DN21" s="9">
        <v>62203.4</v>
      </c>
      <c r="DO21" s="18"/>
      <c r="DP21" s="9">
        <v>68533.653</v>
      </c>
      <c r="DQ21" s="18"/>
      <c r="DR21" s="61">
        <v>1340</v>
      </c>
      <c r="DS21" s="18"/>
      <c r="DT21" s="18">
        <v>361.6</v>
      </c>
      <c r="DU21" s="18"/>
      <c r="DV21" s="9">
        <v>12803</v>
      </c>
      <c r="DW21" s="18"/>
      <c r="DX21" s="109">
        <f t="shared" si="0"/>
        <v>9723517.545431692</v>
      </c>
      <c r="DY21" s="72"/>
      <c r="DZ21" s="54" t="s">
        <v>24</v>
      </c>
      <c r="EA21" s="37">
        <v>990000</v>
      </c>
      <c r="EB21" s="95">
        <v>890000</v>
      </c>
      <c r="EC21" s="61">
        <v>6033.325</v>
      </c>
      <c r="ED21" s="61">
        <v>6095.955</v>
      </c>
      <c r="EE21" s="9">
        <v>63555.749</v>
      </c>
      <c r="EF21" s="33">
        <v>2468.62</v>
      </c>
      <c r="EG21" s="61">
        <v>353526</v>
      </c>
      <c r="EH21" s="61">
        <v>5285.584</v>
      </c>
      <c r="EI21" s="61">
        <v>301151</v>
      </c>
      <c r="EJ21" s="61">
        <v>292528.48</v>
      </c>
      <c r="EK21" s="119">
        <v>16277</v>
      </c>
    </row>
    <row r="22" spans="1:141" ht="12.75" hidden="1">
      <c r="A22" s="55" t="s">
        <v>25</v>
      </c>
      <c r="B22" s="22">
        <v>667612.403</v>
      </c>
      <c r="C22" s="91">
        <v>844530.7009960508</v>
      </c>
      <c r="D22" s="89"/>
      <c r="E22" s="91">
        <v>10600.308809999991</v>
      </c>
      <c r="F22" s="89"/>
      <c r="G22" s="91">
        <v>19082.197429800006</v>
      </c>
      <c r="H22" s="89"/>
      <c r="I22" s="91">
        <v>31800.352941176472</v>
      </c>
      <c r="J22" s="33"/>
      <c r="K22" s="22">
        <v>12229.715</v>
      </c>
      <c r="L22" s="33"/>
      <c r="M22" s="22">
        <v>2600</v>
      </c>
      <c r="N22" s="33"/>
      <c r="O22" s="22">
        <v>4931.859</v>
      </c>
      <c r="P22" s="33"/>
      <c r="Q22" s="22">
        <v>4171.697</v>
      </c>
      <c r="R22" s="18"/>
      <c r="S22" s="10">
        <v>1303.619</v>
      </c>
      <c r="T22" s="10">
        <v>641.782</v>
      </c>
      <c r="U22" s="18"/>
      <c r="V22" s="11">
        <v>42764</v>
      </c>
      <c r="W22" s="18"/>
      <c r="X22" s="11">
        <f>4726.224+5493.28</f>
        <v>10219.504</v>
      </c>
      <c r="Y22" s="18"/>
      <c r="Z22" s="11">
        <v>14558.833</v>
      </c>
      <c r="AA22" s="18"/>
      <c r="AB22" s="33"/>
      <c r="AC22" s="11">
        <v>823661.223</v>
      </c>
      <c r="AD22" s="10">
        <v>183259.587</v>
      </c>
      <c r="AE22" s="10">
        <f t="shared" si="1"/>
        <v>1006920.81</v>
      </c>
      <c r="AF22" s="37"/>
      <c r="AG22" s="11">
        <v>168676.901</v>
      </c>
      <c r="AH22" s="142">
        <v>51875.146</v>
      </c>
      <c r="AI22" s="18"/>
      <c r="AJ22" s="11">
        <v>253534.865</v>
      </c>
      <c r="AK22" s="11">
        <v>9232.53</v>
      </c>
      <c r="AL22" s="142">
        <v>9717.801</v>
      </c>
      <c r="AM22" s="33"/>
      <c r="AN22" s="142">
        <v>10921.523</v>
      </c>
      <c r="AO22" s="18"/>
      <c r="AP22" s="11">
        <v>959.295</v>
      </c>
      <c r="AQ22" s="18"/>
      <c r="AR22" s="10">
        <v>4039.694093084273</v>
      </c>
      <c r="AS22" s="37"/>
      <c r="AT22" s="11">
        <v>12335.35</v>
      </c>
      <c r="AU22" s="18"/>
      <c r="AV22" s="142">
        <v>1783.981</v>
      </c>
      <c r="AW22" s="18"/>
      <c r="AX22" s="142">
        <v>281.753</v>
      </c>
      <c r="AY22" s="37"/>
      <c r="AZ22" s="73">
        <v>728.054</v>
      </c>
      <c r="BA22" s="37"/>
      <c r="BB22" s="11">
        <v>0</v>
      </c>
      <c r="BC22" s="37"/>
      <c r="BD22" s="11">
        <v>657968</v>
      </c>
      <c r="BE22" s="37"/>
      <c r="BF22" s="11">
        <v>78427.24</v>
      </c>
      <c r="BG22" s="18"/>
      <c r="BH22" s="22">
        <v>5858.54</v>
      </c>
      <c r="BI22" s="33"/>
      <c r="BJ22" s="22">
        <v>27212</v>
      </c>
      <c r="BK22" s="33"/>
      <c r="BL22" s="11">
        <v>95401.5</v>
      </c>
      <c r="BM22" s="18"/>
      <c r="BN22" s="11">
        <v>4039</v>
      </c>
      <c r="BO22" s="18"/>
      <c r="BP22" s="11">
        <v>131847.383</v>
      </c>
      <c r="BQ22" s="18"/>
      <c r="BR22" s="22">
        <v>68621</v>
      </c>
      <c r="BS22" s="33"/>
      <c r="BT22" s="22">
        <v>14052.4</v>
      </c>
      <c r="BU22" s="22">
        <f>42380.1-BT22</f>
        <v>28327.699999999997</v>
      </c>
      <c r="BV22" s="33"/>
      <c r="BW22" s="11">
        <v>6118.331</v>
      </c>
      <c r="BX22" s="33"/>
      <c r="BY22" s="11">
        <v>2125.114</v>
      </c>
      <c r="BZ22" s="18"/>
      <c r="CA22" s="11">
        <v>973.142</v>
      </c>
      <c r="CB22" s="18"/>
      <c r="CC22" s="11">
        <v>1941.416</v>
      </c>
      <c r="CD22" s="18"/>
      <c r="CE22" s="11">
        <v>6130.402</v>
      </c>
      <c r="CF22" s="18"/>
      <c r="CG22" s="10">
        <v>1937.595</v>
      </c>
      <c r="CH22" s="18"/>
      <c r="CI22" s="11">
        <v>36876.834</v>
      </c>
      <c r="CJ22" s="18"/>
      <c r="CK22" s="11">
        <v>10172.936</v>
      </c>
      <c r="CL22" s="11">
        <v>8374.101</v>
      </c>
      <c r="CM22" s="18"/>
      <c r="CN22" s="11">
        <v>38048.333</v>
      </c>
      <c r="CO22" s="18"/>
      <c r="CP22" s="11">
        <v>28383.426</v>
      </c>
      <c r="CQ22" s="18"/>
      <c r="CR22" s="11">
        <v>47681.123</v>
      </c>
      <c r="CS22" s="18"/>
      <c r="CT22" s="11">
        <v>7426.953</v>
      </c>
      <c r="CU22" s="18"/>
      <c r="CV22" s="11">
        <v>0</v>
      </c>
      <c r="CW22" s="18"/>
      <c r="CX22" s="11">
        <v>922</v>
      </c>
      <c r="CY22" s="11">
        <v>592.566</v>
      </c>
      <c r="CZ22" s="18"/>
      <c r="DA22" s="11">
        <v>793.329</v>
      </c>
      <c r="DB22" s="18"/>
      <c r="DC22" s="11">
        <v>2821.938</v>
      </c>
      <c r="DD22" s="18"/>
      <c r="DE22" s="11">
        <v>21673.244</v>
      </c>
      <c r="DF22" s="18"/>
      <c r="DG22" s="74">
        <v>10607.023</v>
      </c>
      <c r="DH22" s="71"/>
      <c r="DI22" s="11">
        <v>7858.143</v>
      </c>
      <c r="DJ22" s="18"/>
      <c r="DK22" s="11">
        <v>621.56</v>
      </c>
      <c r="DL22" s="18"/>
      <c r="DM22" s="11">
        <v>9393.463</v>
      </c>
      <c r="DN22" s="11">
        <v>23677.573</v>
      </c>
      <c r="DO22" s="18"/>
      <c r="DP22" s="11">
        <v>26213.424</v>
      </c>
      <c r="DQ22" s="18"/>
      <c r="DR22" s="10">
        <v>539</v>
      </c>
      <c r="DS22" s="18"/>
      <c r="DT22" s="11">
        <v>323</v>
      </c>
      <c r="DU22" s="18"/>
      <c r="DV22" s="11">
        <v>869</v>
      </c>
      <c r="DW22" s="18"/>
      <c r="DX22" s="110">
        <f t="shared" si="0"/>
        <v>4612904.407270109</v>
      </c>
      <c r="DY22" s="72"/>
      <c r="DZ22" s="55" t="s">
        <v>25</v>
      </c>
      <c r="EA22" s="10">
        <v>503900</v>
      </c>
      <c r="EB22" s="103">
        <v>409000</v>
      </c>
      <c r="EC22" s="10">
        <v>3049.374</v>
      </c>
      <c r="ED22" s="10">
        <v>3081.028</v>
      </c>
      <c r="EE22" s="11">
        <v>4866</v>
      </c>
      <c r="EF22" s="22">
        <v>683.437</v>
      </c>
      <c r="EG22" s="10">
        <v>166954</v>
      </c>
      <c r="EH22" s="10">
        <v>5254.854</v>
      </c>
      <c r="EI22" s="10">
        <v>0</v>
      </c>
      <c r="EJ22" s="10">
        <v>103399.555</v>
      </c>
      <c r="EK22" s="183">
        <v>21036</v>
      </c>
    </row>
    <row r="23" spans="1:141" ht="12.75" hidden="1">
      <c r="A23" s="54" t="s">
        <v>26</v>
      </c>
      <c r="B23" s="33">
        <v>197600.928</v>
      </c>
      <c r="C23" s="89">
        <v>371461.2982438875</v>
      </c>
      <c r="D23" s="89"/>
      <c r="E23" s="89">
        <v>964.4409499999965</v>
      </c>
      <c r="F23" s="89"/>
      <c r="G23" s="90">
        <v>9097.479628151994</v>
      </c>
      <c r="H23" s="89"/>
      <c r="I23" s="90">
        <v>27246.352941176472</v>
      </c>
      <c r="J23" s="33"/>
      <c r="K23" s="20">
        <v>8074.05</v>
      </c>
      <c r="L23" s="33"/>
      <c r="M23" s="20">
        <v>1300</v>
      </c>
      <c r="N23" s="33"/>
      <c r="O23" s="20">
        <v>3175.923</v>
      </c>
      <c r="P23" s="33"/>
      <c r="Q23" s="20">
        <v>2173.252</v>
      </c>
      <c r="R23" s="18"/>
      <c r="S23" s="61">
        <v>692.861</v>
      </c>
      <c r="T23" s="61">
        <v>341.101</v>
      </c>
      <c r="U23" s="18"/>
      <c r="V23" s="9">
        <v>18120</v>
      </c>
      <c r="W23" s="18"/>
      <c r="X23" s="9">
        <f>2532.584+3072.721</f>
        <v>5605.305</v>
      </c>
      <c r="Y23" s="18"/>
      <c r="Z23" s="9">
        <v>10821.398</v>
      </c>
      <c r="AA23" s="18"/>
      <c r="AB23" s="33"/>
      <c r="AC23" s="9">
        <v>386373.745</v>
      </c>
      <c r="AD23" s="61">
        <v>85965.797</v>
      </c>
      <c r="AE23" s="61">
        <f t="shared" si="1"/>
        <v>472339.542</v>
      </c>
      <c r="AF23" s="37"/>
      <c r="AG23" s="9">
        <v>51497.022</v>
      </c>
      <c r="AH23" s="162">
        <v>15829.842</v>
      </c>
      <c r="AI23" s="18"/>
      <c r="AJ23" s="9">
        <v>122095.134</v>
      </c>
      <c r="AK23" s="9">
        <v>4141.398</v>
      </c>
      <c r="AL23" s="162">
        <v>4568.504</v>
      </c>
      <c r="AM23" s="33"/>
      <c r="AN23" s="162">
        <v>3344.836</v>
      </c>
      <c r="AO23" s="18"/>
      <c r="AP23" s="9">
        <v>443.632</v>
      </c>
      <c r="AQ23" s="18"/>
      <c r="AR23" s="37">
        <v>2787.95210830026</v>
      </c>
      <c r="AS23" s="37"/>
      <c r="AT23" s="9">
        <v>5715.709</v>
      </c>
      <c r="AU23" s="9"/>
      <c r="AV23" s="162">
        <v>630.094</v>
      </c>
      <c r="AW23" s="9"/>
      <c r="AX23" s="162">
        <v>242.913</v>
      </c>
      <c r="AY23" s="37"/>
      <c r="AZ23" s="67">
        <v>378.516</v>
      </c>
      <c r="BA23" s="37"/>
      <c r="BB23" s="9">
        <v>0</v>
      </c>
      <c r="BC23" s="37"/>
      <c r="BD23" s="9">
        <v>358162</v>
      </c>
      <c r="BE23" s="37"/>
      <c r="BF23" s="9">
        <v>36483.617</v>
      </c>
      <c r="BG23" s="18"/>
      <c r="BH23" s="20">
        <v>0</v>
      </c>
      <c r="BI23" s="33"/>
      <c r="BJ23" s="20">
        <v>24293</v>
      </c>
      <c r="BK23" s="33"/>
      <c r="BL23" s="9">
        <v>53575.8</v>
      </c>
      <c r="BM23" s="18"/>
      <c r="BN23" s="18">
        <v>2643</v>
      </c>
      <c r="BO23" s="18"/>
      <c r="BP23" s="9">
        <v>80834.411</v>
      </c>
      <c r="BQ23" s="18"/>
      <c r="BR23" s="20">
        <v>40546</v>
      </c>
      <c r="BS23" s="33"/>
      <c r="BT23" s="33">
        <v>9593.5</v>
      </c>
      <c r="BU23" s="33">
        <f>21103-BT23</f>
        <v>11509.5</v>
      </c>
      <c r="BV23" s="33"/>
      <c r="BW23" s="9">
        <v>2880.857</v>
      </c>
      <c r="BX23" s="33"/>
      <c r="BY23" s="9">
        <v>720.54</v>
      </c>
      <c r="BZ23" s="18"/>
      <c r="CA23" s="9">
        <v>397.914</v>
      </c>
      <c r="CB23" s="18"/>
      <c r="CC23" s="9">
        <v>793.837</v>
      </c>
      <c r="CD23" s="18"/>
      <c r="CE23" s="18">
        <v>2670.228</v>
      </c>
      <c r="CF23" s="18"/>
      <c r="CG23" s="61">
        <v>823.633</v>
      </c>
      <c r="CH23" s="18"/>
      <c r="CI23" s="9">
        <v>7615.337</v>
      </c>
      <c r="CJ23" s="18"/>
      <c r="CK23" s="9">
        <v>3917.71</v>
      </c>
      <c r="CL23" s="9">
        <v>7014.352</v>
      </c>
      <c r="CM23" s="18"/>
      <c r="CN23" s="9">
        <v>18978.542</v>
      </c>
      <c r="CO23" s="18"/>
      <c r="CP23" s="9">
        <v>16732.201</v>
      </c>
      <c r="CQ23" s="9"/>
      <c r="CR23" s="9">
        <v>14521.562</v>
      </c>
      <c r="CS23" s="9"/>
      <c r="CT23" s="9">
        <v>7574.974</v>
      </c>
      <c r="CU23" s="18"/>
      <c r="CV23" s="9">
        <v>125.007</v>
      </c>
      <c r="CW23" s="18"/>
      <c r="CX23" s="9">
        <v>699</v>
      </c>
      <c r="CY23" s="9">
        <v>498.329</v>
      </c>
      <c r="CZ23" s="18"/>
      <c r="DA23" s="18">
        <v>574.077</v>
      </c>
      <c r="DB23" s="18"/>
      <c r="DC23" s="9">
        <v>1645.347</v>
      </c>
      <c r="DD23" s="18"/>
      <c r="DE23" s="9">
        <v>11777.401</v>
      </c>
      <c r="DF23" s="18"/>
      <c r="DG23" s="70">
        <v>5058.171</v>
      </c>
      <c r="DH23" s="71"/>
      <c r="DI23" s="9">
        <v>3726.404</v>
      </c>
      <c r="DJ23" s="18"/>
      <c r="DK23" s="9">
        <v>304.003</v>
      </c>
      <c r="DL23" s="18"/>
      <c r="DM23" s="9">
        <v>1554.835</v>
      </c>
      <c r="DN23" s="9">
        <v>5172.183</v>
      </c>
      <c r="DO23" s="18"/>
      <c r="DP23" s="9">
        <v>5225.689</v>
      </c>
      <c r="DQ23" s="18"/>
      <c r="DR23" s="61">
        <v>322</v>
      </c>
      <c r="DS23" s="18"/>
      <c r="DT23" s="18">
        <v>303</v>
      </c>
      <c r="DU23" s="18"/>
      <c r="DV23" s="9">
        <v>3104</v>
      </c>
      <c r="DW23" s="18"/>
      <c r="DX23" s="109">
        <f t="shared" si="0"/>
        <v>2083061.4448715155</v>
      </c>
      <c r="DY23" s="72"/>
      <c r="DZ23" s="54" t="s">
        <v>26</v>
      </c>
      <c r="EA23" s="37">
        <v>382700</v>
      </c>
      <c r="EB23" s="95">
        <v>161000</v>
      </c>
      <c r="EC23" s="61">
        <v>1328.22</v>
      </c>
      <c r="ED23" s="61">
        <v>1342.008</v>
      </c>
      <c r="EE23" s="9">
        <v>7690.201</v>
      </c>
      <c r="EF23" s="33">
        <v>15.881</v>
      </c>
      <c r="EG23" s="61">
        <v>53699</v>
      </c>
      <c r="EH23" s="61">
        <v>968.15</v>
      </c>
      <c r="EI23" s="61">
        <v>70814</v>
      </c>
      <c r="EJ23" s="61">
        <v>65496.976</v>
      </c>
      <c r="EK23" s="119">
        <v>9128</v>
      </c>
    </row>
    <row r="24" spans="1:141" ht="12.75" hidden="1">
      <c r="A24" s="54" t="s">
        <v>27</v>
      </c>
      <c r="B24" s="33">
        <v>174356.004</v>
      </c>
      <c r="C24" s="89">
        <v>281352.0291874448</v>
      </c>
      <c r="D24" s="89"/>
      <c r="E24" s="89">
        <v>2045.6736299999975</v>
      </c>
      <c r="F24" s="89"/>
      <c r="G24" s="90">
        <v>5310.214826439</v>
      </c>
      <c r="H24" s="89"/>
      <c r="I24" s="90">
        <v>13153.411764705883</v>
      </c>
      <c r="J24" s="33"/>
      <c r="K24" s="20">
        <v>6652.845</v>
      </c>
      <c r="L24" s="33"/>
      <c r="M24" s="20">
        <v>2600</v>
      </c>
      <c r="N24" s="33"/>
      <c r="O24" s="20">
        <v>3107.935</v>
      </c>
      <c r="P24" s="33"/>
      <c r="Q24" s="20">
        <v>2064.374</v>
      </c>
      <c r="R24" s="18"/>
      <c r="S24" s="61">
        <v>579.749</v>
      </c>
      <c r="T24" s="61">
        <v>285.415</v>
      </c>
      <c r="U24" s="18"/>
      <c r="V24" s="9">
        <v>18415</v>
      </c>
      <c r="W24" s="18"/>
      <c r="X24" s="9">
        <f>2501.986+3415.295</f>
        <v>5917.281</v>
      </c>
      <c r="Y24" s="18"/>
      <c r="Z24" s="9">
        <v>8161.336</v>
      </c>
      <c r="AA24" s="18"/>
      <c r="AB24" s="33"/>
      <c r="AC24" s="9">
        <v>367422.833</v>
      </c>
      <c r="AD24" s="61">
        <v>81749.334</v>
      </c>
      <c r="AE24" s="61">
        <f t="shared" si="1"/>
        <v>449172.167</v>
      </c>
      <c r="AF24" s="37"/>
      <c r="AG24" s="9">
        <v>70868.075</v>
      </c>
      <c r="AH24" s="162">
        <v>22638.363</v>
      </c>
      <c r="AI24" s="18"/>
      <c r="AJ24" s="9">
        <v>106871.769</v>
      </c>
      <c r="AK24" s="9">
        <v>4496.577</v>
      </c>
      <c r="AL24" s="162">
        <v>4625.01</v>
      </c>
      <c r="AM24" s="33"/>
      <c r="AN24" s="162">
        <v>4528.493</v>
      </c>
      <c r="AO24" s="18"/>
      <c r="AP24" s="9">
        <v>460.431</v>
      </c>
      <c r="AQ24" s="18"/>
      <c r="AR24" s="37">
        <v>1668.7976816711075</v>
      </c>
      <c r="AS24" s="37"/>
      <c r="AT24" s="9">
        <v>5108.753</v>
      </c>
      <c r="AU24" s="9"/>
      <c r="AV24" s="162">
        <v>526.693</v>
      </c>
      <c r="AW24" s="9"/>
      <c r="AX24" s="162">
        <v>242.913</v>
      </c>
      <c r="AY24" s="37"/>
      <c r="AZ24" s="67">
        <v>321.368</v>
      </c>
      <c r="BA24" s="37"/>
      <c r="BB24" s="9">
        <v>1489.656</v>
      </c>
      <c r="BC24" s="37"/>
      <c r="BD24" s="9">
        <v>347817</v>
      </c>
      <c r="BE24" s="37"/>
      <c r="BF24" s="9">
        <v>30727.408</v>
      </c>
      <c r="BG24" s="18"/>
      <c r="BH24" s="20">
        <v>0</v>
      </c>
      <c r="BI24" s="33"/>
      <c r="BJ24" s="20">
        <v>19500</v>
      </c>
      <c r="BK24" s="33"/>
      <c r="BL24" s="9">
        <v>35731.5</v>
      </c>
      <c r="BM24" s="18"/>
      <c r="BN24" s="18">
        <v>2153</v>
      </c>
      <c r="BO24" s="18"/>
      <c r="BP24" s="9">
        <v>56441.771</v>
      </c>
      <c r="BQ24" s="18"/>
      <c r="BR24" s="20">
        <v>38284</v>
      </c>
      <c r="BS24" s="33"/>
      <c r="BT24" s="33">
        <v>9593.5</v>
      </c>
      <c r="BU24" s="33">
        <f>(21062.2-BT24)+2583.6</f>
        <v>14052.300000000001</v>
      </c>
      <c r="BV24" s="33"/>
      <c r="BW24" s="9">
        <v>2688.559</v>
      </c>
      <c r="BX24" s="33"/>
      <c r="BY24" s="9">
        <v>724.929</v>
      </c>
      <c r="BZ24" s="18"/>
      <c r="CA24" s="9">
        <v>379.924</v>
      </c>
      <c r="CB24" s="18"/>
      <c r="CC24" s="9">
        <v>757.948</v>
      </c>
      <c r="CD24" s="18"/>
      <c r="CE24" s="18">
        <v>1708.2759999999998</v>
      </c>
      <c r="CF24" s="18"/>
      <c r="CG24" s="61">
        <v>849.759</v>
      </c>
      <c r="CH24" s="18"/>
      <c r="CI24" s="9">
        <v>16528.902</v>
      </c>
      <c r="CJ24" s="18"/>
      <c r="CK24" s="9">
        <v>2816.173</v>
      </c>
      <c r="CL24" s="9">
        <v>4600.348</v>
      </c>
      <c r="CM24" s="18"/>
      <c r="CN24" s="9">
        <v>17121.11</v>
      </c>
      <c r="CO24" s="18"/>
      <c r="CP24" s="9">
        <v>11349.968</v>
      </c>
      <c r="CQ24" s="9"/>
      <c r="CR24" s="9">
        <v>11591.043</v>
      </c>
      <c r="CS24" s="9"/>
      <c r="CT24" s="9">
        <v>0</v>
      </c>
      <c r="CU24" s="18"/>
      <c r="CV24" s="9">
        <v>749.858</v>
      </c>
      <c r="CW24" s="18"/>
      <c r="CX24" s="9">
        <v>685</v>
      </c>
      <c r="CY24" s="9">
        <v>346.403</v>
      </c>
      <c r="CZ24" s="18"/>
      <c r="DA24" s="18">
        <v>557.551</v>
      </c>
      <c r="DB24" s="18"/>
      <c r="DC24" s="9">
        <v>1569.66</v>
      </c>
      <c r="DD24" s="18"/>
      <c r="DE24" s="9">
        <v>12660.141</v>
      </c>
      <c r="DF24" s="18"/>
      <c r="DG24" s="70">
        <v>4926.439</v>
      </c>
      <c r="DH24" s="71"/>
      <c r="DI24" s="9">
        <v>3436.869</v>
      </c>
      <c r="DJ24" s="18"/>
      <c r="DK24" s="9">
        <v>242.041</v>
      </c>
      <c r="DL24" s="18"/>
      <c r="DM24" s="9">
        <v>2702.158</v>
      </c>
      <c r="DN24" s="9">
        <v>7121.714</v>
      </c>
      <c r="DO24" s="18"/>
      <c r="DP24" s="9">
        <v>5203.888</v>
      </c>
      <c r="DQ24" s="18"/>
      <c r="DR24" s="61">
        <v>235</v>
      </c>
      <c r="DS24" s="18"/>
      <c r="DT24" s="18">
        <v>301.7</v>
      </c>
      <c r="DU24" s="18"/>
      <c r="DV24" s="9">
        <v>0</v>
      </c>
      <c r="DW24" s="18"/>
      <c r="DX24" s="109">
        <f t="shared" si="0"/>
        <v>1863176.1740902606</v>
      </c>
      <c r="DY24" s="72"/>
      <c r="DZ24" s="54" t="s">
        <v>27</v>
      </c>
      <c r="EA24" s="37">
        <v>230200</v>
      </c>
      <c r="EB24" s="95">
        <v>127000</v>
      </c>
      <c r="EC24" s="61">
        <v>849.728</v>
      </c>
      <c r="ED24" s="61">
        <v>858.548</v>
      </c>
      <c r="EE24" s="33">
        <v>9190</v>
      </c>
      <c r="EF24" s="33">
        <v>822</v>
      </c>
      <c r="EG24" s="61">
        <v>54677.453</v>
      </c>
      <c r="EH24" s="61">
        <v>1014.095</v>
      </c>
      <c r="EI24" s="61">
        <v>68970</v>
      </c>
      <c r="EJ24" s="61">
        <v>50965.531</v>
      </c>
      <c r="EK24" s="119">
        <v>1381</v>
      </c>
    </row>
    <row r="25" spans="1:141" ht="12.75" hidden="1">
      <c r="A25" s="54" t="s">
        <v>28</v>
      </c>
      <c r="B25" s="33">
        <v>431746.834</v>
      </c>
      <c r="C25" s="89">
        <v>609963.8089788625</v>
      </c>
      <c r="D25" s="89"/>
      <c r="E25" s="89">
        <v>7190.852759999991</v>
      </c>
      <c r="F25" s="89"/>
      <c r="G25" s="90">
        <v>11915.777436300006</v>
      </c>
      <c r="H25" s="89"/>
      <c r="I25" s="90">
        <v>28849.764705882353</v>
      </c>
      <c r="J25" s="33"/>
      <c r="K25" s="20">
        <v>13020.33</v>
      </c>
      <c r="L25" s="33"/>
      <c r="M25" s="20">
        <v>4974.534</v>
      </c>
      <c r="N25" s="33"/>
      <c r="O25" s="20">
        <v>5124.378</v>
      </c>
      <c r="P25" s="33"/>
      <c r="Q25" s="20">
        <v>2686.741</v>
      </c>
      <c r="R25" s="18"/>
      <c r="S25" s="61">
        <v>908.671</v>
      </c>
      <c r="T25" s="61">
        <v>447.346</v>
      </c>
      <c r="U25" s="18"/>
      <c r="V25" s="9">
        <v>34899</v>
      </c>
      <c r="W25" s="18"/>
      <c r="X25" s="9">
        <f>5298.361+6209.81</f>
        <v>11508.171</v>
      </c>
      <c r="Y25" s="18"/>
      <c r="Z25" s="9">
        <v>16856.592</v>
      </c>
      <c r="AA25" s="18"/>
      <c r="AB25" s="33"/>
      <c r="AC25" s="9">
        <v>532797.583</v>
      </c>
      <c r="AD25" s="61">
        <v>118544.206</v>
      </c>
      <c r="AE25" s="61">
        <f t="shared" si="1"/>
        <v>651341.789</v>
      </c>
      <c r="AF25" s="37"/>
      <c r="AG25" s="9">
        <v>155347.894</v>
      </c>
      <c r="AH25" s="162">
        <v>47316.734</v>
      </c>
      <c r="AI25" s="18"/>
      <c r="AJ25" s="9">
        <v>157569.975</v>
      </c>
      <c r="AK25" s="9">
        <v>10596.756</v>
      </c>
      <c r="AL25" s="162">
        <v>6301.722</v>
      </c>
      <c r="AM25" s="33"/>
      <c r="AN25" s="162">
        <v>9899.923</v>
      </c>
      <c r="AO25" s="18"/>
      <c r="AP25" s="9">
        <v>1319.915</v>
      </c>
      <c r="AQ25" s="18"/>
      <c r="AR25" s="37">
        <v>2597.1219408882557</v>
      </c>
      <c r="AS25" s="37"/>
      <c r="AT25" s="9">
        <v>9318.274</v>
      </c>
      <c r="AU25" s="9"/>
      <c r="AV25" s="162">
        <v>1192.491</v>
      </c>
      <c r="AW25" s="9"/>
      <c r="AX25" s="162">
        <v>242.913</v>
      </c>
      <c r="AY25" s="37"/>
      <c r="AZ25" s="67">
        <v>508.466</v>
      </c>
      <c r="BA25" s="37"/>
      <c r="BB25" s="9">
        <v>0</v>
      </c>
      <c r="BC25" s="37"/>
      <c r="BD25" s="9">
        <v>421095</v>
      </c>
      <c r="BE25" s="37"/>
      <c r="BF25" s="9">
        <v>50295.172</v>
      </c>
      <c r="BG25" s="18"/>
      <c r="BH25" s="20">
        <v>0</v>
      </c>
      <c r="BI25" s="33"/>
      <c r="BJ25" s="20">
        <v>20450</v>
      </c>
      <c r="BK25" s="33"/>
      <c r="BL25" s="9">
        <v>50381.9</v>
      </c>
      <c r="BM25" s="18"/>
      <c r="BN25" s="18">
        <v>4104</v>
      </c>
      <c r="BO25" s="18"/>
      <c r="BP25" s="9">
        <v>70913.75</v>
      </c>
      <c r="BQ25" s="18"/>
      <c r="BR25" s="20">
        <v>52533</v>
      </c>
      <c r="BS25" s="33"/>
      <c r="BT25" s="33">
        <v>10427</v>
      </c>
      <c r="BU25" s="33">
        <f>25382.5-BT25</f>
        <v>14955.5</v>
      </c>
      <c r="BV25" s="33"/>
      <c r="BW25" s="9">
        <v>4096.206</v>
      </c>
      <c r="BX25" s="33"/>
      <c r="BY25" s="9">
        <v>1426.559</v>
      </c>
      <c r="BZ25" s="18"/>
      <c r="CA25" s="9">
        <v>829.144</v>
      </c>
      <c r="CB25" s="18"/>
      <c r="CC25" s="9">
        <v>1654.143</v>
      </c>
      <c r="CD25" s="18"/>
      <c r="CE25" s="18">
        <v>5737.476000000001</v>
      </c>
      <c r="CF25" s="18"/>
      <c r="CG25" s="61">
        <v>1769.888</v>
      </c>
      <c r="CH25" s="18"/>
      <c r="CI25" s="9">
        <v>52042.82</v>
      </c>
      <c r="CJ25" s="18"/>
      <c r="CK25" s="9">
        <v>4849.596</v>
      </c>
      <c r="CL25" s="9">
        <v>7277.18</v>
      </c>
      <c r="CM25" s="18"/>
      <c r="CN25" s="9">
        <v>31616.176</v>
      </c>
      <c r="CO25" s="18"/>
      <c r="CP25" s="9">
        <v>18557.372</v>
      </c>
      <c r="CQ25" s="9"/>
      <c r="CR25" s="9">
        <v>30293.241</v>
      </c>
      <c r="CS25" s="9"/>
      <c r="CT25" s="9">
        <v>0</v>
      </c>
      <c r="CU25" s="18"/>
      <c r="CV25" s="9">
        <v>0</v>
      </c>
      <c r="CW25" s="18"/>
      <c r="CX25" s="9">
        <v>782</v>
      </c>
      <c r="CY25" s="9">
        <v>89.537</v>
      </c>
      <c r="CZ25" s="18"/>
      <c r="DA25" s="18">
        <v>652.491</v>
      </c>
      <c r="DB25" s="18"/>
      <c r="DC25" s="9">
        <v>2088.443</v>
      </c>
      <c r="DD25" s="18"/>
      <c r="DE25" s="9">
        <v>14934.264</v>
      </c>
      <c r="DF25" s="18"/>
      <c r="DG25" s="70">
        <v>6441.139</v>
      </c>
      <c r="DH25" s="71"/>
      <c r="DI25" s="9">
        <v>5146.036</v>
      </c>
      <c r="DJ25" s="18"/>
      <c r="DK25" s="9">
        <v>451.164</v>
      </c>
      <c r="DL25" s="18"/>
      <c r="DM25" s="9">
        <v>8192.097</v>
      </c>
      <c r="DN25" s="9">
        <v>17709.821</v>
      </c>
      <c r="DO25" s="18"/>
      <c r="DP25" s="9">
        <v>18713.127</v>
      </c>
      <c r="DQ25" s="18"/>
      <c r="DR25" s="61">
        <v>413</v>
      </c>
      <c r="DS25" s="18"/>
      <c r="DT25" s="18">
        <v>310.5</v>
      </c>
      <c r="DU25" s="18"/>
      <c r="DV25" s="9">
        <v>0</v>
      </c>
      <c r="DW25" s="18"/>
      <c r="DX25" s="109">
        <f t="shared" si="0"/>
        <v>3164875.516821932</v>
      </c>
      <c r="DY25" s="72"/>
      <c r="DZ25" s="54" t="s">
        <v>28</v>
      </c>
      <c r="EA25" s="37">
        <v>403700</v>
      </c>
      <c r="EB25" s="95">
        <v>427000</v>
      </c>
      <c r="EC25" s="61">
        <v>2853.925</v>
      </c>
      <c r="ED25" s="61">
        <v>2883.551</v>
      </c>
      <c r="EE25" s="33">
        <v>11441</v>
      </c>
      <c r="EF25" s="33">
        <v>946.767</v>
      </c>
      <c r="EG25" s="61">
        <v>112171</v>
      </c>
      <c r="EH25" s="61">
        <v>3564.696</v>
      </c>
      <c r="EI25" s="61">
        <v>0</v>
      </c>
      <c r="EJ25" s="61">
        <v>90643.835</v>
      </c>
      <c r="EK25" s="119">
        <v>12072</v>
      </c>
    </row>
    <row r="26" spans="1:141" ht="12.75" hidden="1">
      <c r="A26" s="54" t="s">
        <v>29</v>
      </c>
      <c r="B26" s="33">
        <v>467171.088</v>
      </c>
      <c r="C26" s="89">
        <v>988094.8907479657</v>
      </c>
      <c r="D26" s="89"/>
      <c r="E26" s="89">
        <v>37055.47499999988</v>
      </c>
      <c r="F26" s="89"/>
      <c r="G26" s="90">
        <v>10715.453877450002</v>
      </c>
      <c r="H26" s="89"/>
      <c r="I26" s="90">
        <v>24047.29411764706</v>
      </c>
      <c r="J26" s="33"/>
      <c r="K26" s="20">
        <v>11754.964</v>
      </c>
      <c r="L26" s="33"/>
      <c r="M26" s="20">
        <v>8649.385</v>
      </c>
      <c r="N26" s="33"/>
      <c r="O26" s="20">
        <v>4885.087</v>
      </c>
      <c r="P26" s="33"/>
      <c r="Q26" s="20">
        <v>2395.546</v>
      </c>
      <c r="R26" s="18"/>
      <c r="S26" s="61">
        <v>861.168</v>
      </c>
      <c r="T26" s="61">
        <v>423.96</v>
      </c>
      <c r="U26" s="18"/>
      <c r="V26" s="9">
        <v>40014</v>
      </c>
      <c r="W26" s="18"/>
      <c r="X26" s="9">
        <f>7168.05+8334.728</f>
        <v>15502.777999999998</v>
      </c>
      <c r="Y26" s="18"/>
      <c r="Z26" s="9">
        <v>23473.377</v>
      </c>
      <c r="AA26" s="18"/>
      <c r="AB26" s="33"/>
      <c r="AC26" s="9">
        <v>579592.482</v>
      </c>
      <c r="AD26" s="61">
        <v>128955.784</v>
      </c>
      <c r="AE26" s="61">
        <f t="shared" si="1"/>
        <v>708548.266</v>
      </c>
      <c r="AF26" s="37"/>
      <c r="AG26" s="9">
        <v>177156.777</v>
      </c>
      <c r="AH26" s="162">
        <v>57204.753</v>
      </c>
      <c r="AI26" s="18"/>
      <c r="AJ26" s="9">
        <v>188749.525</v>
      </c>
      <c r="AK26" s="9">
        <v>6909.542</v>
      </c>
      <c r="AL26" s="162">
        <v>6931.25</v>
      </c>
      <c r="AM26" s="33"/>
      <c r="AN26" s="162">
        <v>12145.171</v>
      </c>
      <c r="AO26" s="18"/>
      <c r="AP26" s="9">
        <v>1954.563</v>
      </c>
      <c r="AQ26" s="18"/>
      <c r="AR26" s="37">
        <v>3130.821982413034</v>
      </c>
      <c r="AS26" s="37"/>
      <c r="AT26" s="9">
        <v>9895.321</v>
      </c>
      <c r="AU26" s="9"/>
      <c r="AV26" s="162">
        <v>1207.035</v>
      </c>
      <c r="AW26" s="9"/>
      <c r="AX26" s="162">
        <v>242.913</v>
      </c>
      <c r="AY26" s="37"/>
      <c r="AZ26" s="67">
        <v>483.554</v>
      </c>
      <c r="BA26" s="37"/>
      <c r="BB26" s="9">
        <v>173.832</v>
      </c>
      <c r="BC26" s="37"/>
      <c r="BD26" s="9">
        <v>429859</v>
      </c>
      <c r="BE26" s="37"/>
      <c r="BF26" s="9">
        <v>63308.87</v>
      </c>
      <c r="BG26" s="18"/>
      <c r="BH26" s="20">
        <v>2425.343</v>
      </c>
      <c r="BI26" s="33"/>
      <c r="BJ26" s="20">
        <v>27626</v>
      </c>
      <c r="BK26" s="33"/>
      <c r="BL26" s="9">
        <v>43516.6</v>
      </c>
      <c r="BM26" s="18"/>
      <c r="BN26" s="18">
        <v>2680</v>
      </c>
      <c r="BO26" s="18"/>
      <c r="BP26" s="9">
        <v>50657.478</v>
      </c>
      <c r="BQ26" s="18"/>
      <c r="BR26" s="20">
        <v>71694</v>
      </c>
      <c r="BS26" s="33"/>
      <c r="BT26" s="33">
        <v>13805.7</v>
      </c>
      <c r="BU26" s="33">
        <f>(24624.2-BT26)+8999</f>
        <v>19817.5</v>
      </c>
      <c r="BV26" s="33"/>
      <c r="BW26" s="9">
        <v>4232.02</v>
      </c>
      <c r="BX26" s="33"/>
      <c r="BY26" s="9">
        <v>992.414</v>
      </c>
      <c r="BZ26" s="18"/>
      <c r="CA26" s="9">
        <v>782.284</v>
      </c>
      <c r="CB26" s="18"/>
      <c r="CC26" s="9">
        <v>1560.655</v>
      </c>
      <c r="CD26" s="18"/>
      <c r="CE26" s="18">
        <v>5361.946</v>
      </c>
      <c r="CF26" s="18"/>
      <c r="CG26" s="61">
        <v>2069.399</v>
      </c>
      <c r="CH26" s="18"/>
      <c r="CI26" s="9">
        <v>72894.14</v>
      </c>
      <c r="CJ26" s="18"/>
      <c r="CK26" s="9">
        <v>9895.959</v>
      </c>
      <c r="CL26" s="9">
        <v>7474.898</v>
      </c>
      <c r="CM26" s="18"/>
      <c r="CN26" s="9">
        <v>39383.397</v>
      </c>
      <c r="CO26" s="18"/>
      <c r="CP26" s="9">
        <v>26576.197</v>
      </c>
      <c r="CQ26" s="9"/>
      <c r="CR26" s="9">
        <v>20004.342</v>
      </c>
      <c r="CS26" s="9"/>
      <c r="CT26" s="9">
        <v>0</v>
      </c>
      <c r="CU26" s="18"/>
      <c r="CV26" s="9">
        <v>226.864</v>
      </c>
      <c r="CW26" s="18"/>
      <c r="CX26" s="9">
        <v>792</v>
      </c>
      <c r="CY26" s="9">
        <v>233.894</v>
      </c>
      <c r="CZ26" s="18"/>
      <c r="DA26" s="18">
        <v>623.474</v>
      </c>
      <c r="DB26" s="18"/>
      <c r="DC26" s="9">
        <v>2132.194</v>
      </c>
      <c r="DD26" s="18"/>
      <c r="DE26" s="9">
        <v>21400.86</v>
      </c>
      <c r="DF26" s="18"/>
      <c r="DG26" s="75">
        <v>7027.524</v>
      </c>
      <c r="DH26" s="71"/>
      <c r="DI26" s="9">
        <v>5191.488</v>
      </c>
      <c r="DJ26" s="18"/>
      <c r="DK26" s="9">
        <v>400.819</v>
      </c>
      <c r="DL26" s="18"/>
      <c r="DM26" s="9">
        <v>8703.29</v>
      </c>
      <c r="DN26" s="9">
        <v>20012.271</v>
      </c>
      <c r="DO26" s="18"/>
      <c r="DP26" s="9">
        <v>9258.53</v>
      </c>
      <c r="DQ26" s="18"/>
      <c r="DR26" s="61">
        <v>426</v>
      </c>
      <c r="DS26" s="18"/>
      <c r="DT26" s="18">
        <v>310.8</v>
      </c>
      <c r="DU26" s="18"/>
      <c r="DV26" s="9">
        <v>0</v>
      </c>
      <c r="DW26" s="18"/>
      <c r="DX26" s="109">
        <f t="shared" si="0"/>
        <v>3803135.9407254774</v>
      </c>
      <c r="DY26" s="72"/>
      <c r="DZ26" s="54" t="s">
        <v>29</v>
      </c>
      <c r="EA26" s="37">
        <v>430700</v>
      </c>
      <c r="EB26" s="95">
        <v>461000</v>
      </c>
      <c r="EC26" s="61">
        <v>2667.13</v>
      </c>
      <c r="ED26" s="61">
        <v>2694.816</v>
      </c>
      <c r="EE26" s="33">
        <v>8265</v>
      </c>
      <c r="EF26" s="33">
        <v>74</v>
      </c>
      <c r="EG26" s="61">
        <v>176146</v>
      </c>
      <c r="EH26" s="61">
        <v>18299</v>
      </c>
      <c r="EI26" s="61">
        <v>0</v>
      </c>
      <c r="EJ26" s="61">
        <v>81985.993</v>
      </c>
      <c r="EK26" s="119">
        <v>2512</v>
      </c>
    </row>
    <row r="27" spans="1:141" ht="12.75">
      <c r="A27" s="55" t="s">
        <v>30</v>
      </c>
      <c r="B27" s="22">
        <v>215059.869</v>
      </c>
      <c r="C27" s="91">
        <v>324765.72270943585</v>
      </c>
      <c r="D27" s="89"/>
      <c r="E27" s="91">
        <v>5207.169239999991</v>
      </c>
      <c r="F27" s="89"/>
      <c r="G27" s="91">
        <v>3614.936309402002</v>
      </c>
      <c r="H27" s="89"/>
      <c r="I27" s="91">
        <v>8385.882352941177</v>
      </c>
      <c r="J27" s="33"/>
      <c r="K27" s="22">
        <v>10220.875</v>
      </c>
      <c r="L27" s="33"/>
      <c r="M27" s="22">
        <v>2590.713</v>
      </c>
      <c r="N27" s="33"/>
      <c r="O27" s="22">
        <v>3345.917</v>
      </c>
      <c r="P27" s="33"/>
      <c r="Q27" s="22">
        <v>914.194</v>
      </c>
      <c r="R27" s="18"/>
      <c r="S27" s="10">
        <v>325</v>
      </c>
      <c r="T27" s="10">
        <v>160</v>
      </c>
      <c r="U27" s="18"/>
      <c r="V27" s="11">
        <v>6758</v>
      </c>
      <c r="W27" s="18"/>
      <c r="X27" s="11">
        <f>1356.495+1515.765</f>
        <v>2872.26</v>
      </c>
      <c r="Y27" s="18"/>
      <c r="Z27" s="11">
        <v>5243.045</v>
      </c>
      <c r="AA27" s="18"/>
      <c r="AB27" s="33"/>
      <c r="AC27" s="11">
        <v>158250.33</v>
      </c>
      <c r="AD27" s="10">
        <v>35209.731</v>
      </c>
      <c r="AE27" s="10">
        <f t="shared" si="1"/>
        <v>193460.061</v>
      </c>
      <c r="AF27" s="37"/>
      <c r="AG27" s="11">
        <v>37184.258</v>
      </c>
      <c r="AH27" s="142">
        <v>11118.773</v>
      </c>
      <c r="AI27" s="18"/>
      <c r="AJ27" s="11">
        <v>53163.974</v>
      </c>
      <c r="AK27" s="11">
        <v>2607.704</v>
      </c>
      <c r="AL27" s="142">
        <v>2398.294</v>
      </c>
      <c r="AM27" s="33"/>
      <c r="AN27" s="142">
        <v>3209.375</v>
      </c>
      <c r="AO27" s="18"/>
      <c r="AP27" s="11">
        <v>186.722</v>
      </c>
      <c r="AQ27" s="18"/>
      <c r="AR27" s="10">
        <v>1629.9696835153798</v>
      </c>
      <c r="AS27" s="37"/>
      <c r="AT27" s="11">
        <v>2587.757</v>
      </c>
      <c r="AU27" s="18"/>
      <c r="AV27" s="142">
        <v>350.357</v>
      </c>
      <c r="AW27" s="18"/>
      <c r="AX27" s="142">
        <v>242.913</v>
      </c>
      <c r="AY27" s="37"/>
      <c r="AZ27" s="73">
        <v>119.998</v>
      </c>
      <c r="BA27" s="37"/>
      <c r="BB27" s="11">
        <v>57.077</v>
      </c>
      <c r="BC27" s="37"/>
      <c r="BD27" s="11">
        <v>130752</v>
      </c>
      <c r="BE27" s="37"/>
      <c r="BF27" s="11">
        <v>13266.106</v>
      </c>
      <c r="BG27" s="18"/>
      <c r="BH27" s="22">
        <v>0</v>
      </c>
      <c r="BI27" s="33"/>
      <c r="BJ27" s="22">
        <v>19500</v>
      </c>
      <c r="BK27" s="33"/>
      <c r="BL27" s="11">
        <v>30643.2</v>
      </c>
      <c r="BM27" s="18"/>
      <c r="BN27" s="11">
        <v>1436</v>
      </c>
      <c r="BO27" s="18"/>
      <c r="BP27" s="11">
        <v>41935.015</v>
      </c>
      <c r="BQ27" s="18"/>
      <c r="BR27" s="22">
        <v>27305</v>
      </c>
      <c r="BS27" s="33"/>
      <c r="BT27" s="22">
        <v>9593.5</v>
      </c>
      <c r="BU27" s="22">
        <f>11281.3-BT27</f>
        <v>1687.7999999999993</v>
      </c>
      <c r="BV27" s="33"/>
      <c r="BW27" s="11">
        <v>1263.098</v>
      </c>
      <c r="BX27" s="33"/>
      <c r="BY27" s="11">
        <v>423.794</v>
      </c>
      <c r="BZ27" s="18"/>
      <c r="CA27" s="11">
        <v>205.542</v>
      </c>
      <c r="CB27" s="18"/>
      <c r="CC27" s="11">
        <v>410.055</v>
      </c>
      <c r="CD27" s="18"/>
      <c r="CE27" s="11">
        <v>1837.96</v>
      </c>
      <c r="CF27" s="18"/>
      <c r="CG27" s="10">
        <v>307.008</v>
      </c>
      <c r="CH27" s="18"/>
      <c r="CI27" s="11">
        <v>8332.043</v>
      </c>
      <c r="CJ27" s="18"/>
      <c r="CK27" s="11">
        <v>1821.221</v>
      </c>
      <c r="CL27" s="11">
        <v>3443.007</v>
      </c>
      <c r="CM27" s="18"/>
      <c r="CN27" s="11">
        <v>10690.75</v>
      </c>
      <c r="CO27" s="18"/>
      <c r="CP27" s="11">
        <v>8056.972</v>
      </c>
      <c r="CQ27" s="18"/>
      <c r="CR27" s="11">
        <v>10833.336</v>
      </c>
      <c r="CS27" s="18"/>
      <c r="CT27" s="11">
        <v>2279.525</v>
      </c>
      <c r="CU27" s="18"/>
      <c r="CV27" s="11">
        <v>1597.303</v>
      </c>
      <c r="CW27" s="18"/>
      <c r="CX27" s="11">
        <v>587</v>
      </c>
      <c r="CY27" s="11">
        <v>42.289</v>
      </c>
      <c r="CZ27" s="18"/>
      <c r="DA27" s="11">
        <v>455.239</v>
      </c>
      <c r="DB27" s="18"/>
      <c r="DC27" s="11">
        <v>1057.447</v>
      </c>
      <c r="DD27" s="18"/>
      <c r="DE27" s="11">
        <v>6060.129</v>
      </c>
      <c r="DF27" s="18"/>
      <c r="DG27" s="74">
        <v>2016.519</v>
      </c>
      <c r="DH27" s="71"/>
      <c r="DI27" s="11">
        <v>2132.91</v>
      </c>
      <c r="DJ27" s="18"/>
      <c r="DK27" s="11">
        <v>147.161</v>
      </c>
      <c r="DL27" s="18"/>
      <c r="DM27" s="11">
        <v>1808.086</v>
      </c>
      <c r="DN27" s="11">
        <v>4293.71</v>
      </c>
      <c r="DO27" s="18"/>
      <c r="DP27" s="11">
        <v>4572.069</v>
      </c>
      <c r="DQ27" s="18"/>
      <c r="DR27" s="10">
        <v>127</v>
      </c>
      <c r="DS27" s="18"/>
      <c r="DT27" s="11">
        <v>293.1</v>
      </c>
      <c r="DU27" s="18"/>
      <c r="DV27" s="11">
        <v>707</v>
      </c>
      <c r="DW27" s="18"/>
      <c r="DX27" s="110">
        <f t="shared" si="0"/>
        <v>1249700.710295294</v>
      </c>
      <c r="DY27" s="72"/>
      <c r="DZ27" s="55" t="s">
        <v>30</v>
      </c>
      <c r="EA27" s="10">
        <v>92600</v>
      </c>
      <c r="EB27" s="103">
        <v>114000</v>
      </c>
      <c r="EC27" s="10">
        <v>914.235</v>
      </c>
      <c r="ED27" s="10">
        <v>923.725</v>
      </c>
      <c r="EE27" s="22">
        <v>13260.493</v>
      </c>
      <c r="EF27" s="22">
        <v>842</v>
      </c>
      <c r="EG27" s="10">
        <v>76814</v>
      </c>
      <c r="EH27" s="10">
        <v>2581.332</v>
      </c>
      <c r="EI27" s="10">
        <v>28231</v>
      </c>
      <c r="EJ27" s="10">
        <v>39060.445</v>
      </c>
      <c r="EK27" s="183">
        <v>3015</v>
      </c>
    </row>
    <row r="28" spans="1:141" ht="12.75" hidden="1">
      <c r="A28" s="54" t="s">
        <v>31</v>
      </c>
      <c r="B28" s="33">
        <v>638551.477</v>
      </c>
      <c r="C28" s="89">
        <v>1087043.4174222448</v>
      </c>
      <c r="D28" s="89"/>
      <c r="E28" s="89">
        <v>3781.396709999989</v>
      </c>
      <c r="F28" s="89"/>
      <c r="G28" s="90">
        <v>22981.24360590001</v>
      </c>
      <c r="H28" s="89"/>
      <c r="I28" s="90">
        <v>29183.647058823528</v>
      </c>
      <c r="J28" s="33"/>
      <c r="K28" s="20">
        <v>12254.648</v>
      </c>
      <c r="L28" s="33"/>
      <c r="M28" s="20">
        <v>0</v>
      </c>
      <c r="N28" s="33"/>
      <c r="O28" s="20">
        <v>4253.584</v>
      </c>
      <c r="P28" s="33"/>
      <c r="Q28" s="20">
        <v>3821.205</v>
      </c>
      <c r="R28" s="18"/>
      <c r="S28" s="61">
        <v>1110.512</v>
      </c>
      <c r="T28" s="61">
        <v>546.714</v>
      </c>
      <c r="U28" s="18"/>
      <c r="V28" s="9">
        <v>24040</v>
      </c>
      <c r="W28" s="18"/>
      <c r="X28" s="9">
        <f>3833.752+4037.573</f>
        <v>7871.325</v>
      </c>
      <c r="Y28" s="18"/>
      <c r="Z28" s="9">
        <v>13719.817</v>
      </c>
      <c r="AA28" s="18"/>
      <c r="AB28" s="33"/>
      <c r="AC28" s="9">
        <v>719676.984</v>
      </c>
      <c r="AD28" s="61">
        <v>160123.73</v>
      </c>
      <c r="AE28" s="61">
        <f t="shared" si="1"/>
        <v>879800.714</v>
      </c>
      <c r="AF28" s="37"/>
      <c r="AG28" s="9">
        <v>135958.438</v>
      </c>
      <c r="AH28" s="162">
        <v>39983.479</v>
      </c>
      <c r="AI28" s="18"/>
      <c r="AJ28" s="9">
        <v>200241.802</v>
      </c>
      <c r="AK28" s="9">
        <v>6922.121</v>
      </c>
      <c r="AL28" s="162">
        <v>22216.99</v>
      </c>
      <c r="AM28" s="33"/>
      <c r="AN28" s="162">
        <v>8526.689</v>
      </c>
      <c r="AO28" s="18"/>
      <c r="AP28" s="9">
        <v>845.389</v>
      </c>
      <c r="AQ28" s="18"/>
      <c r="AR28" s="37">
        <v>3090.1515893593705</v>
      </c>
      <c r="AS28" s="37"/>
      <c r="AT28" s="9">
        <v>6879.192</v>
      </c>
      <c r="AU28" s="9"/>
      <c r="AV28" s="162">
        <v>1579.599</v>
      </c>
      <c r="AW28" s="9"/>
      <c r="AX28" s="162">
        <v>249.474</v>
      </c>
      <c r="AY28" s="37"/>
      <c r="AZ28" s="67">
        <v>629.924</v>
      </c>
      <c r="BA28" s="37"/>
      <c r="BB28" s="9">
        <v>0</v>
      </c>
      <c r="BC28" s="37"/>
      <c r="BD28" s="9">
        <v>431035</v>
      </c>
      <c r="BE28" s="37"/>
      <c r="BF28" s="9">
        <v>163996.393</v>
      </c>
      <c r="BG28" s="18"/>
      <c r="BH28" s="20">
        <v>15265.694</v>
      </c>
      <c r="BI28" s="33"/>
      <c r="BJ28" s="20">
        <v>26832</v>
      </c>
      <c r="BK28" s="33"/>
      <c r="BL28" s="9">
        <v>95742</v>
      </c>
      <c r="BM28" s="18"/>
      <c r="BN28" s="18">
        <v>3712</v>
      </c>
      <c r="BO28" s="18"/>
      <c r="BP28" s="9">
        <v>61441.745</v>
      </c>
      <c r="BQ28" s="18"/>
      <c r="BR28" s="20">
        <v>51772</v>
      </c>
      <c r="BS28" s="33"/>
      <c r="BT28" s="33">
        <v>9593.5</v>
      </c>
      <c r="BU28" s="33">
        <f>52295.1-BT28</f>
        <v>42701.6</v>
      </c>
      <c r="BV28" s="33"/>
      <c r="BW28" s="9">
        <v>5405.259</v>
      </c>
      <c r="BX28" s="33"/>
      <c r="BY28" s="9">
        <v>1423.126</v>
      </c>
      <c r="BZ28" s="18"/>
      <c r="CA28" s="9">
        <v>622.006</v>
      </c>
      <c r="CB28" s="18"/>
      <c r="CC28" s="9">
        <v>1240.902</v>
      </c>
      <c r="CD28" s="18"/>
      <c r="CE28" s="18">
        <v>4155.9310000000005</v>
      </c>
      <c r="CF28" s="18"/>
      <c r="CG28" s="61">
        <v>1231.398</v>
      </c>
      <c r="CH28" s="18"/>
      <c r="CI28" s="9">
        <v>48201.863</v>
      </c>
      <c r="CJ28" s="18"/>
      <c r="CK28" s="9">
        <v>12497.452</v>
      </c>
      <c r="CL28" s="9">
        <v>2152.108</v>
      </c>
      <c r="CM28" s="18"/>
      <c r="CN28" s="9">
        <v>31701.696</v>
      </c>
      <c r="CO28" s="18"/>
      <c r="CP28" s="9">
        <v>22407.537</v>
      </c>
      <c r="CQ28" s="9"/>
      <c r="CR28" s="9">
        <v>43852.641</v>
      </c>
      <c r="CS28" s="9"/>
      <c r="CT28" s="9">
        <v>792.57</v>
      </c>
      <c r="CU28" s="18"/>
      <c r="CV28" s="9">
        <v>0</v>
      </c>
      <c r="CW28" s="18"/>
      <c r="CX28" s="9">
        <v>873</v>
      </c>
      <c r="CY28" s="9">
        <v>570.638</v>
      </c>
      <c r="CZ28" s="18"/>
      <c r="DA28" s="18">
        <v>688.8</v>
      </c>
      <c r="DB28" s="18"/>
      <c r="DC28" s="9">
        <v>2562.236</v>
      </c>
      <c r="DD28" s="18"/>
      <c r="DE28" s="9">
        <v>26501.301</v>
      </c>
      <c r="DF28" s="18"/>
      <c r="DG28" s="70">
        <v>9053.58</v>
      </c>
      <c r="DH28" s="71"/>
      <c r="DI28" s="9">
        <v>6688.441</v>
      </c>
      <c r="DJ28" s="18"/>
      <c r="DK28" s="9">
        <v>327.239</v>
      </c>
      <c r="DL28" s="18"/>
      <c r="DM28" s="9">
        <v>4909.757</v>
      </c>
      <c r="DN28" s="9">
        <v>11585.61</v>
      </c>
      <c r="DO28" s="18"/>
      <c r="DP28" s="9">
        <v>11255.145</v>
      </c>
      <c r="DQ28" s="18"/>
      <c r="DR28" s="61">
        <v>597</v>
      </c>
      <c r="DS28" s="18"/>
      <c r="DT28" s="18">
        <v>318.6</v>
      </c>
      <c r="DU28" s="18"/>
      <c r="DV28" s="9">
        <v>0</v>
      </c>
      <c r="DW28" s="18"/>
      <c r="DX28" s="109">
        <f t="shared" si="0"/>
        <v>4309790.717386327</v>
      </c>
      <c r="DY28" s="72"/>
      <c r="DZ28" s="54" t="s">
        <v>31</v>
      </c>
      <c r="EA28" s="37">
        <v>306000</v>
      </c>
      <c r="EB28" s="95">
        <v>219000</v>
      </c>
      <c r="EC28" s="61">
        <v>2067.236</v>
      </c>
      <c r="ED28" s="61">
        <v>2088.695</v>
      </c>
      <c r="EE28" s="33">
        <v>19810.333</v>
      </c>
      <c r="EF28" s="33">
        <v>517.985</v>
      </c>
      <c r="EG28" s="61">
        <v>207225</v>
      </c>
      <c r="EH28" s="61">
        <v>1874.539</v>
      </c>
      <c r="EI28" s="61">
        <v>0</v>
      </c>
      <c r="EJ28" s="61">
        <v>114549.016</v>
      </c>
      <c r="EK28" s="119">
        <v>1761</v>
      </c>
    </row>
    <row r="29" spans="1:141" ht="12.75" hidden="1">
      <c r="A29" s="54" t="s">
        <v>32</v>
      </c>
      <c r="B29" s="33">
        <v>1205034.924</v>
      </c>
      <c r="C29" s="89">
        <v>1703908.042745078</v>
      </c>
      <c r="D29" s="89"/>
      <c r="E29" s="89">
        <v>15125.586839999956</v>
      </c>
      <c r="F29" s="89"/>
      <c r="G29" s="90">
        <v>14854.780371600007</v>
      </c>
      <c r="H29" s="89"/>
      <c r="I29" s="90">
        <v>35255.647058823524</v>
      </c>
      <c r="J29" s="33"/>
      <c r="K29" s="20">
        <v>27733.925</v>
      </c>
      <c r="L29" s="33"/>
      <c r="M29" s="20">
        <v>1300</v>
      </c>
      <c r="N29" s="33"/>
      <c r="O29" s="20">
        <v>8618.594</v>
      </c>
      <c r="P29" s="33"/>
      <c r="Q29" s="20">
        <v>4266.874</v>
      </c>
      <c r="R29" s="18"/>
      <c r="S29" s="61">
        <v>1403.578</v>
      </c>
      <c r="T29" s="61">
        <v>690.992</v>
      </c>
      <c r="U29" s="18"/>
      <c r="V29" s="9">
        <v>23967</v>
      </c>
      <c r="W29" s="18"/>
      <c r="X29" s="9">
        <f>5323.141+4959.779</f>
        <v>10282.92</v>
      </c>
      <c r="Y29" s="18"/>
      <c r="Z29" s="9">
        <v>24922.586</v>
      </c>
      <c r="AA29" s="18"/>
      <c r="AB29" s="33"/>
      <c r="AC29" s="9">
        <v>813303.212</v>
      </c>
      <c r="AD29" s="61">
        <v>180954.993</v>
      </c>
      <c r="AE29" s="61">
        <f t="shared" si="1"/>
        <v>994258.2050000001</v>
      </c>
      <c r="AF29" s="37"/>
      <c r="AG29" s="9">
        <v>163680.278</v>
      </c>
      <c r="AH29" s="162">
        <v>49674.274</v>
      </c>
      <c r="AI29" s="18"/>
      <c r="AJ29" s="9">
        <v>280551.559</v>
      </c>
      <c r="AK29" s="9">
        <v>10263.466</v>
      </c>
      <c r="AL29" s="162">
        <v>8488.034</v>
      </c>
      <c r="AM29" s="33"/>
      <c r="AN29" s="162">
        <v>10545.67</v>
      </c>
      <c r="AO29" s="18"/>
      <c r="AP29" s="9">
        <v>1118.48</v>
      </c>
      <c r="AQ29" s="18"/>
      <c r="AR29" s="37">
        <v>9257.238935514373</v>
      </c>
      <c r="AS29" s="37"/>
      <c r="AT29" s="9">
        <v>7068.629</v>
      </c>
      <c r="AU29" s="9"/>
      <c r="AV29" s="162">
        <v>1813.351</v>
      </c>
      <c r="AW29" s="9"/>
      <c r="AX29" s="162">
        <v>286.391</v>
      </c>
      <c r="AY29" s="37"/>
      <c r="AZ29" s="67">
        <v>778.45</v>
      </c>
      <c r="BA29" s="37"/>
      <c r="BB29" s="9">
        <v>0</v>
      </c>
      <c r="BC29" s="37"/>
      <c r="BD29" s="9">
        <v>437865</v>
      </c>
      <c r="BE29" s="37"/>
      <c r="BF29" s="9">
        <v>267355.159</v>
      </c>
      <c r="BG29" s="18"/>
      <c r="BH29" s="20">
        <v>52362.925</v>
      </c>
      <c r="BI29" s="33"/>
      <c r="BJ29" s="20">
        <v>52216</v>
      </c>
      <c r="BK29" s="33"/>
      <c r="BL29" s="9">
        <v>134401.2</v>
      </c>
      <c r="BM29" s="18"/>
      <c r="BN29" s="18">
        <v>3118</v>
      </c>
      <c r="BO29" s="18"/>
      <c r="BP29" s="9">
        <v>122077.457</v>
      </c>
      <c r="BQ29" s="18"/>
      <c r="BR29" s="20">
        <v>54911</v>
      </c>
      <c r="BS29" s="33"/>
      <c r="BT29" s="33">
        <v>14752.1</v>
      </c>
      <c r="BU29" s="33">
        <f>42230.6-BT29</f>
        <v>27478.5</v>
      </c>
      <c r="BV29" s="33"/>
      <c r="BW29" s="9">
        <v>6234.595</v>
      </c>
      <c r="BX29" s="33"/>
      <c r="BY29" s="9">
        <v>1908.418</v>
      </c>
      <c r="BZ29" s="18"/>
      <c r="CA29" s="9">
        <v>857.88</v>
      </c>
      <c r="CB29" s="18"/>
      <c r="CC29" s="9">
        <v>1711.471</v>
      </c>
      <c r="CD29" s="18"/>
      <c r="CE29" s="18">
        <v>6688.502</v>
      </c>
      <c r="CF29" s="18"/>
      <c r="CG29" s="61">
        <v>1404.025</v>
      </c>
      <c r="CH29" s="18"/>
      <c r="CI29" s="9">
        <v>81886.976</v>
      </c>
      <c r="CJ29" s="18"/>
      <c r="CK29" s="9">
        <v>20015.653</v>
      </c>
      <c r="CL29" s="9">
        <v>9103.174</v>
      </c>
      <c r="CM29" s="18"/>
      <c r="CN29" s="9">
        <v>59605.63</v>
      </c>
      <c r="CO29" s="18"/>
      <c r="CP29" s="9">
        <v>44558.792</v>
      </c>
      <c r="CQ29" s="9"/>
      <c r="CR29" s="9">
        <v>118982.618</v>
      </c>
      <c r="CS29" s="9"/>
      <c r="CT29" s="9">
        <v>10374.505</v>
      </c>
      <c r="CU29" s="18"/>
      <c r="CV29" s="9">
        <v>430.371</v>
      </c>
      <c r="CW29" s="18"/>
      <c r="CX29" s="9">
        <v>930</v>
      </c>
      <c r="CY29" s="9">
        <v>271.484</v>
      </c>
      <c r="CZ29" s="18"/>
      <c r="DA29" s="18">
        <v>774.492</v>
      </c>
      <c r="DB29" s="18"/>
      <c r="DC29" s="9">
        <v>2864.277</v>
      </c>
      <c r="DD29" s="18"/>
      <c r="DE29" s="9">
        <v>25044.649</v>
      </c>
      <c r="DF29" s="18"/>
      <c r="DG29" s="70">
        <v>11620.239</v>
      </c>
      <c r="DH29" s="71"/>
      <c r="DI29" s="9">
        <v>8063.456</v>
      </c>
      <c r="DJ29" s="18"/>
      <c r="DK29" s="9">
        <v>516.999</v>
      </c>
      <c r="DL29" s="18"/>
      <c r="DM29" s="9">
        <v>10073.668</v>
      </c>
      <c r="DN29" s="9">
        <v>24838.038</v>
      </c>
      <c r="DO29" s="18"/>
      <c r="DP29" s="9">
        <v>21223.446</v>
      </c>
      <c r="DQ29" s="18"/>
      <c r="DR29" s="61">
        <v>696</v>
      </c>
      <c r="DS29" s="18"/>
      <c r="DT29" s="18">
        <v>323.1</v>
      </c>
      <c r="DU29" s="18"/>
      <c r="DV29" s="9">
        <v>793</v>
      </c>
      <c r="DW29" s="18"/>
      <c r="DX29" s="109">
        <f t="shared" si="0"/>
        <v>6253482.274951015</v>
      </c>
      <c r="DY29" s="72"/>
      <c r="DZ29" s="54" t="s">
        <v>32</v>
      </c>
      <c r="EA29" s="37">
        <v>366700</v>
      </c>
      <c r="EB29" s="95">
        <v>317000</v>
      </c>
      <c r="EC29" s="61">
        <v>3326.983</v>
      </c>
      <c r="ED29" s="61">
        <v>3361.519</v>
      </c>
      <c r="EE29" s="33">
        <v>24078</v>
      </c>
      <c r="EF29" s="33">
        <v>1809.802</v>
      </c>
      <c r="EG29" s="61">
        <v>326303</v>
      </c>
      <c r="EH29" s="61">
        <v>7498.154</v>
      </c>
      <c r="EI29" s="61">
        <v>54228</v>
      </c>
      <c r="EJ29" s="61">
        <v>229685.558</v>
      </c>
      <c r="EK29" s="119">
        <v>12262</v>
      </c>
    </row>
    <row r="30" spans="1:141" ht="12.75" hidden="1">
      <c r="A30" s="54" t="s">
        <v>33</v>
      </c>
      <c r="B30" s="33">
        <v>1007280.184</v>
      </c>
      <c r="C30" s="89">
        <v>1257032.6981192213</v>
      </c>
      <c r="D30" s="89"/>
      <c r="E30" s="89">
        <v>13141.903319999958</v>
      </c>
      <c r="F30" s="89"/>
      <c r="G30" s="90">
        <v>33280.298003100004</v>
      </c>
      <c r="H30" s="89"/>
      <c r="I30" s="90">
        <v>104163.5294117647</v>
      </c>
      <c r="J30" s="33"/>
      <c r="K30" s="20">
        <v>23680.995</v>
      </c>
      <c r="L30" s="33"/>
      <c r="M30" s="20">
        <v>2600</v>
      </c>
      <c r="N30" s="33"/>
      <c r="O30" s="20">
        <v>8586.711</v>
      </c>
      <c r="P30" s="33"/>
      <c r="Q30" s="20">
        <v>6612.318</v>
      </c>
      <c r="R30" s="18"/>
      <c r="S30" s="61">
        <v>2113.224</v>
      </c>
      <c r="T30" s="61">
        <v>1040.356</v>
      </c>
      <c r="U30" s="18"/>
      <c r="V30" s="9">
        <v>58681</v>
      </c>
      <c r="W30" s="18"/>
      <c r="X30" s="9">
        <f>11523.225+12997.396</f>
        <v>24520.621</v>
      </c>
      <c r="Y30" s="18"/>
      <c r="Z30" s="9">
        <v>36840.33</v>
      </c>
      <c r="AA30" s="18"/>
      <c r="AB30" s="33"/>
      <c r="AC30" s="9">
        <v>1302368.992</v>
      </c>
      <c r="AD30" s="61">
        <v>289769.14</v>
      </c>
      <c r="AE30" s="61">
        <f t="shared" si="1"/>
        <v>1592138.1320000002</v>
      </c>
      <c r="AF30" s="37"/>
      <c r="AG30" s="9">
        <v>389902.873</v>
      </c>
      <c r="AH30" s="162">
        <v>115048.25</v>
      </c>
      <c r="AI30" s="18"/>
      <c r="AJ30" s="9">
        <v>400607.836</v>
      </c>
      <c r="AK30" s="9">
        <v>13396.405</v>
      </c>
      <c r="AL30" s="162">
        <v>13312.456</v>
      </c>
      <c r="AM30" s="33"/>
      <c r="AN30" s="162">
        <v>24409.625</v>
      </c>
      <c r="AO30" s="18"/>
      <c r="AP30" s="9">
        <v>2360.691</v>
      </c>
      <c r="AQ30" s="18"/>
      <c r="AR30" s="37">
        <v>5916.964745087141</v>
      </c>
      <c r="AS30" s="37"/>
      <c r="AT30" s="9">
        <v>18126.329</v>
      </c>
      <c r="AU30" s="9"/>
      <c r="AV30" s="162">
        <v>2831.696</v>
      </c>
      <c r="AW30" s="9"/>
      <c r="AX30" s="162">
        <v>447.223</v>
      </c>
      <c r="AY30" s="37"/>
      <c r="AZ30" s="67">
        <v>1187.077</v>
      </c>
      <c r="BA30" s="37"/>
      <c r="BB30" s="9">
        <v>23.776</v>
      </c>
      <c r="BC30" s="37"/>
      <c r="BD30" s="9">
        <v>847205</v>
      </c>
      <c r="BE30" s="37"/>
      <c r="BF30" s="9">
        <v>134823.341</v>
      </c>
      <c r="BG30" s="18"/>
      <c r="BH30" s="20">
        <v>133.125</v>
      </c>
      <c r="BI30" s="33"/>
      <c r="BJ30" s="20">
        <v>67454</v>
      </c>
      <c r="BK30" s="33"/>
      <c r="BL30" s="9">
        <v>170211.1</v>
      </c>
      <c r="BM30" s="18"/>
      <c r="BN30" s="18">
        <v>7183</v>
      </c>
      <c r="BO30" s="18"/>
      <c r="BP30" s="9">
        <v>243398.975</v>
      </c>
      <c r="BQ30" s="18"/>
      <c r="BR30" s="20">
        <v>82035</v>
      </c>
      <c r="BS30" s="33"/>
      <c r="BT30" s="33">
        <v>19599.6</v>
      </c>
      <c r="BU30" s="33">
        <f>76601.5-BT30</f>
        <v>57001.9</v>
      </c>
      <c r="BV30" s="33"/>
      <c r="BW30" s="9">
        <v>9597.969</v>
      </c>
      <c r="BX30" s="33"/>
      <c r="BY30" s="9">
        <v>4543.475</v>
      </c>
      <c r="BZ30" s="18"/>
      <c r="CA30" s="9">
        <v>1991.866</v>
      </c>
      <c r="CB30" s="18"/>
      <c r="CC30" s="9">
        <v>3973.771</v>
      </c>
      <c r="CD30" s="18"/>
      <c r="CE30" s="18">
        <v>12437.771</v>
      </c>
      <c r="CF30" s="18"/>
      <c r="CG30" s="61">
        <v>2555.174</v>
      </c>
      <c r="CH30" s="18"/>
      <c r="CI30" s="9">
        <v>53467.21</v>
      </c>
      <c r="CJ30" s="18"/>
      <c r="CK30" s="9">
        <v>25088.614</v>
      </c>
      <c r="CL30" s="9">
        <v>9583.308</v>
      </c>
      <c r="CM30" s="18"/>
      <c r="CN30" s="9">
        <v>63974.711</v>
      </c>
      <c r="CO30" s="18"/>
      <c r="CP30" s="9">
        <v>53140.158</v>
      </c>
      <c r="CQ30" s="9"/>
      <c r="CR30" s="9">
        <v>49399.514</v>
      </c>
      <c r="CS30" s="9"/>
      <c r="CT30" s="9">
        <v>0</v>
      </c>
      <c r="CU30" s="18"/>
      <c r="CV30" s="9">
        <v>5158.652</v>
      </c>
      <c r="CW30" s="18"/>
      <c r="CX30" s="9">
        <v>1162</v>
      </c>
      <c r="CY30" s="9">
        <v>355.8</v>
      </c>
      <c r="CZ30" s="18"/>
      <c r="DA30" s="18">
        <v>1094.876</v>
      </c>
      <c r="DB30" s="18"/>
      <c r="DC30" s="9">
        <v>4074.946</v>
      </c>
      <c r="DD30" s="18"/>
      <c r="DE30" s="9">
        <v>41198.83</v>
      </c>
      <c r="DF30" s="18"/>
      <c r="DG30" s="70">
        <v>14877.327</v>
      </c>
      <c r="DH30" s="71"/>
      <c r="DI30" s="9">
        <v>13858.019</v>
      </c>
      <c r="DJ30" s="18"/>
      <c r="DK30" s="9">
        <v>791.957</v>
      </c>
      <c r="DL30" s="18"/>
      <c r="DM30" s="9">
        <v>30857.68</v>
      </c>
      <c r="DN30" s="9">
        <v>73949.491</v>
      </c>
      <c r="DO30" s="18"/>
      <c r="DP30" s="9">
        <v>78452.046</v>
      </c>
      <c r="DQ30" s="18"/>
      <c r="DR30" s="61">
        <v>1071</v>
      </c>
      <c r="DS30" s="18"/>
      <c r="DT30" s="18">
        <v>345.1</v>
      </c>
      <c r="DU30" s="18"/>
      <c r="DV30" s="9">
        <v>704</v>
      </c>
      <c r="DW30" s="18"/>
      <c r="DX30" s="109">
        <f t="shared" si="0"/>
        <v>7346033.807599175</v>
      </c>
      <c r="DY30" s="72"/>
      <c r="DZ30" s="54" t="s">
        <v>33</v>
      </c>
      <c r="EA30" s="37">
        <v>898900</v>
      </c>
      <c r="EB30" s="95">
        <v>800000</v>
      </c>
      <c r="EC30" s="61">
        <v>6186.774</v>
      </c>
      <c r="ED30" s="61">
        <v>6250.997</v>
      </c>
      <c r="EE30" s="33">
        <v>24050.224</v>
      </c>
      <c r="EF30" s="33">
        <v>165.341</v>
      </c>
      <c r="EG30" s="61">
        <v>186996</v>
      </c>
      <c r="EH30" s="61">
        <v>6514.79</v>
      </c>
      <c r="EI30" s="61">
        <v>69428</v>
      </c>
      <c r="EJ30" s="61">
        <v>387676.429</v>
      </c>
      <c r="EK30" s="119">
        <v>49935</v>
      </c>
    </row>
    <row r="31" spans="1:141" ht="12.75" hidden="1">
      <c r="A31" s="54" t="s">
        <v>34</v>
      </c>
      <c r="B31" s="33">
        <v>800623.534</v>
      </c>
      <c r="C31" s="89">
        <v>1153260.2902118594</v>
      </c>
      <c r="D31" s="89"/>
      <c r="E31" s="89">
        <v>1829.1245749999944</v>
      </c>
      <c r="F31" s="89"/>
      <c r="G31" s="90">
        <v>9900.840905700004</v>
      </c>
      <c r="H31" s="89"/>
      <c r="I31" s="90">
        <v>47620.94117647059</v>
      </c>
      <c r="J31" s="33"/>
      <c r="K31" s="20">
        <v>9173.635</v>
      </c>
      <c r="L31" s="33"/>
      <c r="M31" s="20">
        <v>1300</v>
      </c>
      <c r="N31" s="33"/>
      <c r="O31" s="20">
        <v>3529.068</v>
      </c>
      <c r="P31" s="33"/>
      <c r="Q31" s="20">
        <v>3771.258</v>
      </c>
      <c r="R31" s="18"/>
      <c r="S31" s="61">
        <v>1041.94</v>
      </c>
      <c r="T31" s="61">
        <v>512.955</v>
      </c>
      <c r="U31" s="18"/>
      <c r="V31" s="9">
        <v>26097</v>
      </c>
      <c r="W31" s="18"/>
      <c r="X31" s="9">
        <f>3537.462+3961.199</f>
        <v>7498.661</v>
      </c>
      <c r="Y31" s="18"/>
      <c r="Z31" s="9">
        <v>12032.251</v>
      </c>
      <c r="AA31" s="18"/>
      <c r="AB31" s="33"/>
      <c r="AC31" s="9">
        <v>667888.144</v>
      </c>
      <c r="AD31" s="61">
        <v>148601.03</v>
      </c>
      <c r="AE31" s="61">
        <f t="shared" si="1"/>
        <v>816489.174</v>
      </c>
      <c r="AF31" s="37"/>
      <c r="AG31" s="9">
        <v>94711.036</v>
      </c>
      <c r="AH31" s="162">
        <v>28984.959</v>
      </c>
      <c r="AI31" s="18"/>
      <c r="AJ31" s="9">
        <v>189839.228</v>
      </c>
      <c r="AK31" s="9">
        <v>7707.311</v>
      </c>
      <c r="AL31" s="162">
        <v>7856.562</v>
      </c>
      <c r="AM31" s="33"/>
      <c r="AN31" s="162">
        <v>6117.378</v>
      </c>
      <c r="AO31" s="18"/>
      <c r="AP31" s="9">
        <v>691.988</v>
      </c>
      <c r="AQ31" s="18"/>
      <c r="AR31" s="37">
        <v>3892.465911537728</v>
      </c>
      <c r="AS31" s="37"/>
      <c r="AT31" s="9">
        <v>7737.672</v>
      </c>
      <c r="AU31" s="9"/>
      <c r="AV31" s="162">
        <v>1461.313</v>
      </c>
      <c r="AW31" s="9"/>
      <c r="AX31" s="162">
        <v>242.913</v>
      </c>
      <c r="AY31" s="37"/>
      <c r="AZ31" s="67">
        <v>586.345</v>
      </c>
      <c r="BA31" s="37"/>
      <c r="BB31" s="9">
        <v>651.74</v>
      </c>
      <c r="BC31" s="37"/>
      <c r="BD31" s="9">
        <v>502284</v>
      </c>
      <c r="BE31" s="37"/>
      <c r="BF31" s="9">
        <v>92241.542</v>
      </c>
      <c r="BG31" s="18"/>
      <c r="BH31" s="20">
        <v>1851.573</v>
      </c>
      <c r="BI31" s="33"/>
      <c r="BJ31" s="20">
        <v>35110</v>
      </c>
      <c r="BK31" s="33"/>
      <c r="BL31" s="9">
        <v>72758.6</v>
      </c>
      <c r="BM31" s="18"/>
      <c r="BN31" s="18">
        <v>4256</v>
      </c>
      <c r="BO31" s="18"/>
      <c r="BP31" s="9">
        <v>131937.411</v>
      </c>
      <c r="BQ31" s="18"/>
      <c r="BR31" s="20">
        <v>54172</v>
      </c>
      <c r="BS31" s="33"/>
      <c r="BT31" s="33">
        <v>10644.1</v>
      </c>
      <c r="BU31" s="33">
        <f>37359.5-BT31</f>
        <v>26715.4</v>
      </c>
      <c r="BV31" s="33"/>
      <c r="BW31" s="9">
        <v>5008.803</v>
      </c>
      <c r="BX31" s="33"/>
      <c r="BY31" s="9">
        <v>1772.743</v>
      </c>
      <c r="BZ31" s="18"/>
      <c r="CA31" s="9">
        <v>722.444</v>
      </c>
      <c r="CB31" s="18"/>
      <c r="CC31" s="9">
        <v>1441.277</v>
      </c>
      <c r="CD31" s="18"/>
      <c r="CE31" s="18">
        <v>2787.6719999999996</v>
      </c>
      <c r="CF31" s="18"/>
      <c r="CG31" s="61">
        <v>1270.665</v>
      </c>
      <c r="CH31" s="18"/>
      <c r="CI31" s="9">
        <v>47245.479</v>
      </c>
      <c r="CJ31" s="18"/>
      <c r="CK31" s="9">
        <v>9827.78</v>
      </c>
      <c r="CL31" s="9">
        <v>5561.42</v>
      </c>
      <c r="CM31" s="18"/>
      <c r="CN31" s="9">
        <v>28434.123</v>
      </c>
      <c r="CO31" s="18"/>
      <c r="CP31" s="9">
        <v>23546.196</v>
      </c>
      <c r="CQ31" s="9"/>
      <c r="CR31" s="9">
        <v>13897.25</v>
      </c>
      <c r="CS31" s="9"/>
      <c r="CT31" s="9">
        <v>0</v>
      </c>
      <c r="CU31" s="18"/>
      <c r="CV31" s="9">
        <v>7252.505</v>
      </c>
      <c r="CW31" s="18"/>
      <c r="CX31" s="9">
        <v>845</v>
      </c>
      <c r="CY31" s="9">
        <v>369.897</v>
      </c>
      <c r="CZ31" s="18"/>
      <c r="DA31" s="18">
        <v>701.346</v>
      </c>
      <c r="DB31" s="18"/>
      <c r="DC31" s="9">
        <v>2403.272</v>
      </c>
      <c r="DD31" s="18"/>
      <c r="DE31" s="9">
        <v>18099.917</v>
      </c>
      <c r="DF31" s="18"/>
      <c r="DG31" s="75">
        <v>9290.259</v>
      </c>
      <c r="DH31" s="71"/>
      <c r="DI31" s="9">
        <v>6895.09</v>
      </c>
      <c r="DJ31" s="18"/>
      <c r="DK31" s="9">
        <v>563.471</v>
      </c>
      <c r="DL31" s="18"/>
      <c r="DM31" s="9">
        <v>6952.045</v>
      </c>
      <c r="DN31" s="9">
        <v>17789.172</v>
      </c>
      <c r="DO31" s="18"/>
      <c r="DP31" s="9">
        <v>20963.288</v>
      </c>
      <c r="DQ31" s="18"/>
      <c r="DR31" s="61">
        <v>559</v>
      </c>
      <c r="DS31" s="18"/>
      <c r="DT31" s="18">
        <v>316.2</v>
      </c>
      <c r="DU31" s="18"/>
      <c r="DV31" s="9">
        <v>4799</v>
      </c>
      <c r="DW31" s="18"/>
      <c r="DX31" s="109">
        <f t="shared" si="0"/>
        <v>4416447.523780569</v>
      </c>
      <c r="DY31" s="72"/>
      <c r="DZ31" s="54" t="s">
        <v>34</v>
      </c>
      <c r="EA31" s="37">
        <v>350000</v>
      </c>
      <c r="EB31" s="95">
        <v>175000</v>
      </c>
      <c r="EC31" s="61">
        <v>1386.639</v>
      </c>
      <c r="ED31" s="61">
        <v>1401.033</v>
      </c>
      <c r="EE31" s="33">
        <v>16637</v>
      </c>
      <c r="EF31" s="33">
        <v>692</v>
      </c>
      <c r="EG31" s="61">
        <v>180377</v>
      </c>
      <c r="EH31" s="61">
        <v>1836.16</v>
      </c>
      <c r="EI31" s="61">
        <v>130063</v>
      </c>
      <c r="EJ31" s="61">
        <v>131717.035</v>
      </c>
      <c r="EK31" s="119">
        <v>6442</v>
      </c>
    </row>
    <row r="32" spans="1:141" ht="12.75" hidden="1">
      <c r="A32" s="55" t="s">
        <v>35</v>
      </c>
      <c r="B32" s="22">
        <v>291580.117</v>
      </c>
      <c r="C32" s="91">
        <v>503022.25942005566</v>
      </c>
      <c r="D32" s="89"/>
      <c r="E32" s="91">
        <v>7562.793419999978</v>
      </c>
      <c r="F32" s="89"/>
      <c r="G32" s="91">
        <v>1928.7916897130021</v>
      </c>
      <c r="H32" s="89"/>
      <c r="I32" s="91">
        <v>12908.823529411764</v>
      </c>
      <c r="J32" s="33"/>
      <c r="K32" s="22">
        <v>15620.5</v>
      </c>
      <c r="L32" s="33"/>
      <c r="M32" s="22">
        <v>1300</v>
      </c>
      <c r="N32" s="33"/>
      <c r="O32" s="22">
        <v>6271.192</v>
      </c>
      <c r="P32" s="33"/>
      <c r="Q32" s="22">
        <v>1712.939</v>
      </c>
      <c r="R32" s="18"/>
      <c r="S32" s="10">
        <v>596.849</v>
      </c>
      <c r="T32" s="10">
        <v>293.833</v>
      </c>
      <c r="U32" s="18"/>
      <c r="V32" s="11">
        <v>30983</v>
      </c>
      <c r="W32" s="18"/>
      <c r="X32" s="11">
        <f>7943.672+10177.772</f>
        <v>18121.444</v>
      </c>
      <c r="Y32" s="18"/>
      <c r="Z32" s="11">
        <v>15903.165</v>
      </c>
      <c r="AA32" s="18"/>
      <c r="AB32" s="33"/>
      <c r="AC32" s="11">
        <v>392067.945</v>
      </c>
      <c r="AD32" s="10">
        <v>87232.721</v>
      </c>
      <c r="AE32" s="10">
        <f t="shared" si="1"/>
        <v>479300.666</v>
      </c>
      <c r="AF32" s="37"/>
      <c r="AG32" s="11">
        <v>132888.489</v>
      </c>
      <c r="AH32" s="142">
        <v>39910.208</v>
      </c>
      <c r="AI32" s="18"/>
      <c r="AJ32" s="11">
        <v>117836.482</v>
      </c>
      <c r="AK32" s="11">
        <v>4510.94</v>
      </c>
      <c r="AL32" s="142">
        <v>4871.669</v>
      </c>
      <c r="AM32" s="33"/>
      <c r="AN32" s="142">
        <v>8507.492</v>
      </c>
      <c r="AO32" s="18"/>
      <c r="AP32" s="11">
        <v>896.372</v>
      </c>
      <c r="AQ32" s="18"/>
      <c r="AR32" s="10">
        <v>2388.038987083478</v>
      </c>
      <c r="AS32" s="37"/>
      <c r="AT32" s="11">
        <v>7214.52</v>
      </c>
      <c r="AU32" s="18"/>
      <c r="AV32" s="142">
        <v>596.321</v>
      </c>
      <c r="AW32" s="18"/>
      <c r="AX32" s="142">
        <v>242.913</v>
      </c>
      <c r="AY32" s="37"/>
      <c r="AZ32" s="73">
        <v>331.382</v>
      </c>
      <c r="BA32" s="37"/>
      <c r="BB32" s="11">
        <v>0</v>
      </c>
      <c r="BC32" s="37"/>
      <c r="BD32" s="11">
        <v>354564</v>
      </c>
      <c r="BE32" s="37"/>
      <c r="BF32" s="11">
        <v>25466.305999999997</v>
      </c>
      <c r="BG32" s="18"/>
      <c r="BH32" s="22">
        <v>0</v>
      </c>
      <c r="BI32" s="33"/>
      <c r="BJ32" s="22">
        <v>19500</v>
      </c>
      <c r="BK32" s="33"/>
      <c r="BL32" s="11">
        <v>35665</v>
      </c>
      <c r="BM32" s="18"/>
      <c r="BN32" s="11">
        <v>3084</v>
      </c>
      <c r="BO32" s="18"/>
      <c r="BP32" s="11">
        <v>49421.193</v>
      </c>
      <c r="BQ32" s="18"/>
      <c r="BR32" s="22">
        <v>40418</v>
      </c>
      <c r="BS32" s="33"/>
      <c r="BT32" s="22">
        <v>9593.5</v>
      </c>
      <c r="BU32" s="22">
        <f>16974.6-BT32</f>
        <v>7381.0999999999985</v>
      </c>
      <c r="BV32" s="33"/>
      <c r="BW32" s="11">
        <v>2819.512</v>
      </c>
      <c r="BX32" s="33"/>
      <c r="BY32" s="11">
        <v>994.766</v>
      </c>
      <c r="BZ32" s="18"/>
      <c r="CA32" s="11">
        <v>653.144</v>
      </c>
      <c r="CB32" s="18"/>
      <c r="CC32" s="11">
        <v>1303.021</v>
      </c>
      <c r="CD32" s="18"/>
      <c r="CE32" s="11">
        <v>3796.6859999999997</v>
      </c>
      <c r="CF32" s="18"/>
      <c r="CG32" s="10">
        <v>1720.968</v>
      </c>
      <c r="CH32" s="18"/>
      <c r="CI32" s="11">
        <v>32395.555</v>
      </c>
      <c r="CJ32" s="18"/>
      <c r="CK32" s="11">
        <v>1322.852</v>
      </c>
      <c r="CL32" s="11">
        <v>8071.701</v>
      </c>
      <c r="CM32" s="18"/>
      <c r="CN32" s="11">
        <v>21881.803</v>
      </c>
      <c r="CO32" s="18"/>
      <c r="CP32" s="11">
        <v>14379.581</v>
      </c>
      <c r="CQ32" s="18"/>
      <c r="CR32" s="11">
        <v>18895.453</v>
      </c>
      <c r="CS32" s="18"/>
      <c r="CT32" s="11">
        <v>0</v>
      </c>
      <c r="CU32" s="18"/>
      <c r="CV32" s="11">
        <v>1389.43</v>
      </c>
      <c r="CW32" s="18"/>
      <c r="CX32" s="11">
        <v>694</v>
      </c>
      <c r="CY32" s="11">
        <v>122.69</v>
      </c>
      <c r="CZ32" s="18"/>
      <c r="DA32" s="11">
        <v>514.677</v>
      </c>
      <c r="DB32" s="18"/>
      <c r="DC32" s="11">
        <v>1622.147</v>
      </c>
      <c r="DD32" s="18"/>
      <c r="DE32" s="11">
        <v>11199.389</v>
      </c>
      <c r="DF32" s="18"/>
      <c r="DG32" s="74">
        <v>4009.761</v>
      </c>
      <c r="DH32" s="71"/>
      <c r="DI32" s="11">
        <v>3617.92</v>
      </c>
      <c r="DJ32" s="18"/>
      <c r="DK32" s="11">
        <v>294.321</v>
      </c>
      <c r="DL32" s="18"/>
      <c r="DM32" s="11">
        <v>7772.797</v>
      </c>
      <c r="DN32" s="11">
        <v>18687.021</v>
      </c>
      <c r="DO32" s="18"/>
      <c r="DP32" s="11">
        <v>14210.277</v>
      </c>
      <c r="DQ32" s="18"/>
      <c r="DR32" s="10">
        <v>284</v>
      </c>
      <c r="DS32" s="18"/>
      <c r="DT32" s="11">
        <v>302.6</v>
      </c>
      <c r="DU32" s="18"/>
      <c r="DV32" s="11">
        <v>0</v>
      </c>
      <c r="DW32" s="18"/>
      <c r="DX32" s="110">
        <f t="shared" si="0"/>
        <v>2425350.371046264</v>
      </c>
      <c r="DY32" s="72"/>
      <c r="DZ32" s="55" t="s">
        <v>35</v>
      </c>
      <c r="EA32" s="10">
        <v>395400</v>
      </c>
      <c r="EB32" s="103">
        <v>296000</v>
      </c>
      <c r="EC32" s="10">
        <v>1888.541</v>
      </c>
      <c r="ED32" s="10">
        <v>1908.145</v>
      </c>
      <c r="EE32" s="22">
        <v>12440</v>
      </c>
      <c r="EF32" s="22">
        <v>138.4</v>
      </c>
      <c r="EG32" s="10">
        <v>78905</v>
      </c>
      <c r="EH32" s="10">
        <v>3749.077</v>
      </c>
      <c r="EI32" s="10">
        <v>0</v>
      </c>
      <c r="EJ32" s="10">
        <v>43383.789</v>
      </c>
      <c r="EK32" s="183">
        <v>5453</v>
      </c>
    </row>
    <row r="33" spans="1:141" ht="12.75" hidden="1">
      <c r="A33" s="54" t="s">
        <v>36</v>
      </c>
      <c r="B33" s="33">
        <v>632382.64</v>
      </c>
      <c r="C33" s="89">
        <v>925042.9499497891</v>
      </c>
      <c r="D33" s="89"/>
      <c r="E33" s="89">
        <v>23494.251689999957</v>
      </c>
      <c r="F33" s="89"/>
      <c r="G33" s="90">
        <v>9889.656208304004</v>
      </c>
      <c r="H33" s="89"/>
      <c r="I33" s="90">
        <v>41207.294117647056</v>
      </c>
      <c r="J33" s="33"/>
      <c r="K33" s="20">
        <v>17143.18</v>
      </c>
      <c r="L33" s="33"/>
      <c r="M33" s="20">
        <v>2600</v>
      </c>
      <c r="N33" s="33"/>
      <c r="O33" s="20">
        <v>6821.393</v>
      </c>
      <c r="P33" s="33"/>
      <c r="Q33" s="20">
        <v>3574.454</v>
      </c>
      <c r="R33" s="18"/>
      <c r="S33" s="61">
        <v>1284.714</v>
      </c>
      <c r="T33" s="61">
        <v>632.475</v>
      </c>
      <c r="U33" s="18"/>
      <c r="V33" s="9">
        <v>38682</v>
      </c>
      <c r="W33" s="18"/>
      <c r="X33" s="9">
        <f>5845.956+6833.63</f>
        <v>12679.586</v>
      </c>
      <c r="Y33" s="18"/>
      <c r="Z33" s="9">
        <v>27668.456</v>
      </c>
      <c r="AA33" s="18"/>
      <c r="AB33" s="33"/>
      <c r="AC33" s="9">
        <v>753172.335</v>
      </c>
      <c r="AD33" s="61">
        <v>167576.241</v>
      </c>
      <c r="AE33" s="61">
        <f t="shared" si="1"/>
        <v>920748.576</v>
      </c>
      <c r="AF33" s="37"/>
      <c r="AG33" s="9">
        <v>147728.408</v>
      </c>
      <c r="AH33" s="162">
        <v>45774.541</v>
      </c>
      <c r="AI33" s="18"/>
      <c r="AJ33" s="9">
        <v>227175.274</v>
      </c>
      <c r="AK33" s="9">
        <v>6397.033</v>
      </c>
      <c r="AL33" s="162">
        <v>8859.988</v>
      </c>
      <c r="AM33" s="33"/>
      <c r="AN33" s="162">
        <v>9731.919</v>
      </c>
      <c r="AO33" s="18"/>
      <c r="AP33" s="9">
        <v>1054.392</v>
      </c>
      <c r="AQ33" s="18"/>
      <c r="AR33" s="37">
        <v>3849.047328729876</v>
      </c>
      <c r="AS33" s="37"/>
      <c r="AT33" s="9">
        <v>11375.265</v>
      </c>
      <c r="AU33" s="9"/>
      <c r="AV33" s="162">
        <v>1652.719</v>
      </c>
      <c r="AW33" s="9"/>
      <c r="AX33" s="162">
        <v>261.022</v>
      </c>
      <c r="AY33" s="37"/>
      <c r="AZ33" s="67">
        <v>707.956</v>
      </c>
      <c r="BA33" s="37"/>
      <c r="BB33" s="9">
        <v>1180.74</v>
      </c>
      <c r="BC33" s="37"/>
      <c r="BD33" s="9">
        <v>637122</v>
      </c>
      <c r="BE33" s="37"/>
      <c r="BF33" s="9">
        <v>83844.09400000001</v>
      </c>
      <c r="BG33" s="18"/>
      <c r="BH33" s="20">
        <v>1289.449</v>
      </c>
      <c r="BI33" s="33"/>
      <c r="BJ33" s="20">
        <v>37862</v>
      </c>
      <c r="BK33" s="33"/>
      <c r="BL33" s="9">
        <v>109739.2</v>
      </c>
      <c r="BM33" s="18"/>
      <c r="BN33" s="18">
        <v>3254</v>
      </c>
      <c r="BO33" s="18"/>
      <c r="BP33" s="9">
        <v>128148.027</v>
      </c>
      <c r="BQ33" s="18"/>
      <c r="BR33" s="20">
        <v>57393</v>
      </c>
      <c r="BS33" s="33"/>
      <c r="BT33" s="33">
        <v>12568.1</v>
      </c>
      <c r="BU33" s="33">
        <f>43779.3-BT33</f>
        <v>31211.200000000004</v>
      </c>
      <c r="BV33" s="33"/>
      <c r="BW33" s="9">
        <v>5671.999</v>
      </c>
      <c r="BX33" s="33"/>
      <c r="BY33" s="9">
        <v>1999.312</v>
      </c>
      <c r="BZ33" s="18"/>
      <c r="CA33" s="9">
        <v>983.232</v>
      </c>
      <c r="CB33" s="18"/>
      <c r="CC33" s="9">
        <v>1961.549</v>
      </c>
      <c r="CD33" s="18"/>
      <c r="CE33" s="18">
        <v>6514.918</v>
      </c>
      <c r="CF33" s="18"/>
      <c r="CG33" s="61">
        <v>1838.222</v>
      </c>
      <c r="CH33" s="18"/>
      <c r="CI33" s="9">
        <v>47684.526</v>
      </c>
      <c r="CJ33" s="18"/>
      <c r="CK33" s="9">
        <v>11385.928</v>
      </c>
      <c r="CL33" s="9">
        <v>6433.629</v>
      </c>
      <c r="CM33" s="18"/>
      <c r="CN33" s="9">
        <v>38687.026</v>
      </c>
      <c r="CO33" s="18"/>
      <c r="CP33" s="9">
        <v>27263.384</v>
      </c>
      <c r="CQ33" s="9"/>
      <c r="CR33" s="9">
        <v>25057.375</v>
      </c>
      <c r="CS33" s="9"/>
      <c r="CT33" s="9">
        <v>2998.508</v>
      </c>
      <c r="CU33" s="18"/>
      <c r="CV33" s="9">
        <v>34.65</v>
      </c>
      <c r="CW33" s="18"/>
      <c r="CX33" s="9">
        <v>891</v>
      </c>
      <c r="CY33" s="9">
        <v>951.498</v>
      </c>
      <c r="CZ33" s="18"/>
      <c r="DA33" s="18">
        <v>733.895</v>
      </c>
      <c r="DB33" s="18"/>
      <c r="DC33" s="9">
        <v>2655.994</v>
      </c>
      <c r="DD33" s="18"/>
      <c r="DE33" s="9">
        <v>25382.937</v>
      </c>
      <c r="DF33" s="18"/>
      <c r="DG33" s="70">
        <v>9522.006</v>
      </c>
      <c r="DH33" s="71"/>
      <c r="DI33" s="9">
        <v>7399.208</v>
      </c>
      <c r="DJ33" s="18"/>
      <c r="DK33" s="9">
        <v>586.706</v>
      </c>
      <c r="DL33" s="18"/>
      <c r="DM33" s="9">
        <v>10482.04</v>
      </c>
      <c r="DN33" s="9">
        <v>25400.077</v>
      </c>
      <c r="DO33" s="18"/>
      <c r="DP33" s="9">
        <v>25830.846</v>
      </c>
      <c r="DQ33" s="18"/>
      <c r="DR33" s="61">
        <v>633</v>
      </c>
      <c r="DS33" s="18"/>
      <c r="DT33" s="18">
        <v>320.2</v>
      </c>
      <c r="DU33" s="18"/>
      <c r="DV33" s="9">
        <v>3512</v>
      </c>
      <c r="DW33" s="18"/>
      <c r="DX33" s="109">
        <f t="shared" si="0"/>
        <v>4524846.665294466</v>
      </c>
      <c r="DY33" s="72"/>
      <c r="DZ33" s="54" t="s">
        <v>36</v>
      </c>
      <c r="EA33" s="37">
        <v>491800</v>
      </c>
      <c r="EB33" s="95">
        <v>562000</v>
      </c>
      <c r="EC33" s="61">
        <v>3240.639</v>
      </c>
      <c r="ED33" s="61">
        <v>3274.279</v>
      </c>
      <c r="EE33" s="33">
        <v>24098.4</v>
      </c>
      <c r="EF33" s="33">
        <v>1731.401</v>
      </c>
      <c r="EG33" s="61">
        <v>146824</v>
      </c>
      <c r="EH33" s="61">
        <v>11646.723</v>
      </c>
      <c r="EI33" s="61">
        <v>0</v>
      </c>
      <c r="EJ33" s="61">
        <v>108525.87</v>
      </c>
      <c r="EK33" s="119">
        <v>10458</v>
      </c>
    </row>
    <row r="34" spans="1:141" ht="12.75" hidden="1">
      <c r="A34" s="54" t="s">
        <v>37</v>
      </c>
      <c r="B34" s="33">
        <v>67808.788</v>
      </c>
      <c r="C34" s="89">
        <v>123404.07329090836</v>
      </c>
      <c r="D34" s="89"/>
      <c r="E34" s="89">
        <v>277.97959999999875</v>
      </c>
      <c r="F34" s="89"/>
      <c r="G34" s="90">
        <v>2414.294153969</v>
      </c>
      <c r="H34" s="89"/>
      <c r="I34" s="90">
        <v>4161.882352941177</v>
      </c>
      <c r="J34" s="33"/>
      <c r="K34" s="20">
        <v>6700.69</v>
      </c>
      <c r="L34" s="33"/>
      <c r="M34" s="20">
        <v>1300</v>
      </c>
      <c r="N34" s="33"/>
      <c r="O34" s="20">
        <v>2861.63</v>
      </c>
      <c r="P34" s="33"/>
      <c r="Q34" s="20">
        <v>675.777</v>
      </c>
      <c r="R34" s="18"/>
      <c r="S34" s="61">
        <v>325</v>
      </c>
      <c r="T34" s="61">
        <v>160</v>
      </c>
      <c r="U34" s="18"/>
      <c r="V34" s="9">
        <v>5747</v>
      </c>
      <c r="W34" s="18"/>
      <c r="X34" s="9">
        <f>1029.211+1142.806</f>
        <v>2172.017</v>
      </c>
      <c r="Y34" s="18"/>
      <c r="Z34" s="9">
        <v>4697.685</v>
      </c>
      <c r="AA34" s="18"/>
      <c r="AB34" s="33"/>
      <c r="AC34" s="9">
        <v>121628.25</v>
      </c>
      <c r="AD34" s="61">
        <v>27061.542</v>
      </c>
      <c r="AE34" s="61">
        <f t="shared" si="1"/>
        <v>148689.79200000002</v>
      </c>
      <c r="AF34" s="37"/>
      <c r="AG34" s="9">
        <v>34650</v>
      </c>
      <c r="AH34" s="162">
        <v>9788.443</v>
      </c>
      <c r="AI34" s="18"/>
      <c r="AJ34" s="9">
        <v>36708.056</v>
      </c>
      <c r="AK34" s="9">
        <v>1260.947</v>
      </c>
      <c r="AL34" s="162">
        <v>2398.294</v>
      </c>
      <c r="AM34" s="33"/>
      <c r="AN34" s="162">
        <v>3209.375</v>
      </c>
      <c r="AO34" s="18"/>
      <c r="AP34" s="9">
        <v>175.966</v>
      </c>
      <c r="AQ34" s="18"/>
      <c r="AR34" s="37">
        <v>654.1207754832096</v>
      </c>
      <c r="AS34" s="37"/>
      <c r="AT34" s="9">
        <v>2059.043</v>
      </c>
      <c r="AU34" s="9"/>
      <c r="AV34" s="162">
        <v>350.357</v>
      </c>
      <c r="AW34" s="9"/>
      <c r="AX34" s="162">
        <v>242.913</v>
      </c>
      <c r="AY34" s="37"/>
      <c r="AZ34" s="67">
        <v>13.781</v>
      </c>
      <c r="BA34" s="37"/>
      <c r="BB34" s="9">
        <v>1589.675</v>
      </c>
      <c r="BC34" s="37"/>
      <c r="BD34" s="9">
        <v>211793</v>
      </c>
      <c r="BE34" s="37"/>
      <c r="BF34" s="9">
        <v>15611.71</v>
      </c>
      <c r="BG34" s="18"/>
      <c r="BH34" s="20">
        <v>0</v>
      </c>
      <c r="BI34" s="33"/>
      <c r="BJ34" s="20">
        <v>19500</v>
      </c>
      <c r="BK34" s="33"/>
      <c r="BL34" s="9">
        <v>19433.4</v>
      </c>
      <c r="BM34" s="18"/>
      <c r="BN34" s="18">
        <v>1301</v>
      </c>
      <c r="BO34" s="18"/>
      <c r="BP34" s="9">
        <v>26543.777</v>
      </c>
      <c r="BQ34" s="18"/>
      <c r="BR34" s="20">
        <v>25855</v>
      </c>
      <c r="BS34" s="33"/>
      <c r="BT34" s="33">
        <v>9593.5</v>
      </c>
      <c r="BU34" s="33">
        <f>13971-BT34</f>
        <v>4377.5</v>
      </c>
      <c r="BV34" s="33"/>
      <c r="BW34" s="9">
        <v>928.228</v>
      </c>
      <c r="BX34" s="33"/>
      <c r="BY34" s="9">
        <v>231.335</v>
      </c>
      <c r="BZ34" s="18"/>
      <c r="CA34" s="9">
        <v>144.438</v>
      </c>
      <c r="CB34" s="18"/>
      <c r="CC34" s="9">
        <v>288.155</v>
      </c>
      <c r="CD34" s="18"/>
      <c r="CE34" s="18">
        <v>670.424</v>
      </c>
      <c r="CF34" s="18"/>
      <c r="CG34" s="61">
        <v>224.981</v>
      </c>
      <c r="CH34" s="18"/>
      <c r="CI34" s="9">
        <v>4429.323</v>
      </c>
      <c r="CJ34" s="18"/>
      <c r="CK34" s="9">
        <v>608.031</v>
      </c>
      <c r="CL34" s="9">
        <v>1829.877</v>
      </c>
      <c r="CM34" s="18"/>
      <c r="CN34" s="9">
        <v>7818.36</v>
      </c>
      <c r="CO34" s="18"/>
      <c r="CP34" s="9">
        <v>3731.327</v>
      </c>
      <c r="CQ34" s="9"/>
      <c r="CR34" s="9">
        <v>4453.59</v>
      </c>
      <c r="CS34" s="9"/>
      <c r="CT34" s="9">
        <v>873.963</v>
      </c>
      <c r="CU34" s="18"/>
      <c r="CV34" s="9">
        <v>11409.734</v>
      </c>
      <c r="CW34" s="18"/>
      <c r="CX34" s="9">
        <v>564</v>
      </c>
      <c r="CY34" s="9">
        <v>90.582</v>
      </c>
      <c r="CZ34" s="18"/>
      <c r="DA34" s="18">
        <v>422.046</v>
      </c>
      <c r="DB34" s="18"/>
      <c r="DC34" s="9">
        <v>916.955</v>
      </c>
      <c r="DD34" s="18"/>
      <c r="DE34" s="9">
        <v>3165.819</v>
      </c>
      <c r="DF34" s="18"/>
      <c r="DG34" s="70">
        <v>1394.697</v>
      </c>
      <c r="DH34" s="71"/>
      <c r="DI34" s="9">
        <v>2930.979</v>
      </c>
      <c r="DJ34" s="18"/>
      <c r="DK34" s="9">
        <v>149.097</v>
      </c>
      <c r="DL34" s="18"/>
      <c r="DM34" s="9">
        <v>1234.406</v>
      </c>
      <c r="DN34" s="9">
        <v>2918.025</v>
      </c>
      <c r="DO34" s="18"/>
      <c r="DP34" s="9">
        <v>1756.038</v>
      </c>
      <c r="DQ34" s="18"/>
      <c r="DR34" s="61">
        <v>0</v>
      </c>
      <c r="DS34" s="18"/>
      <c r="DT34" s="18">
        <v>291</v>
      </c>
      <c r="DU34" s="18"/>
      <c r="DV34" s="9">
        <v>0</v>
      </c>
      <c r="DW34" s="18"/>
      <c r="DX34" s="109">
        <f t="shared" si="0"/>
        <v>851981.8761733015</v>
      </c>
      <c r="DY34" s="72"/>
      <c r="DZ34" s="54" t="s">
        <v>37</v>
      </c>
      <c r="EA34" s="37">
        <v>79500</v>
      </c>
      <c r="EB34" s="95">
        <v>57000</v>
      </c>
      <c r="EC34" s="61">
        <v>333.481</v>
      </c>
      <c r="ED34" s="61">
        <v>336.943</v>
      </c>
      <c r="EE34" s="33">
        <v>4252.857</v>
      </c>
      <c r="EF34" s="33">
        <v>0</v>
      </c>
      <c r="EG34" s="61">
        <v>19403</v>
      </c>
      <c r="EH34" s="61">
        <v>279.049</v>
      </c>
      <c r="EI34" s="61">
        <v>6509</v>
      </c>
      <c r="EJ34" s="61">
        <v>19019.558</v>
      </c>
      <c r="EK34" s="119">
        <v>1001</v>
      </c>
    </row>
    <row r="35" spans="1:141" ht="12.75" hidden="1">
      <c r="A35" s="54" t="s">
        <v>38</v>
      </c>
      <c r="B35" s="33">
        <v>116210.363</v>
      </c>
      <c r="C35" s="89">
        <v>185357.57468194872</v>
      </c>
      <c r="D35" s="89"/>
      <c r="E35" s="89">
        <v>693.021174999998</v>
      </c>
      <c r="F35" s="89"/>
      <c r="G35" s="90">
        <v>3575.291904472</v>
      </c>
      <c r="H35" s="89"/>
      <c r="I35" s="90">
        <v>10288.235294117647</v>
      </c>
      <c r="J35" s="33"/>
      <c r="K35" s="20">
        <v>3337.99</v>
      </c>
      <c r="L35" s="33"/>
      <c r="M35" s="20">
        <v>0</v>
      </c>
      <c r="N35" s="33"/>
      <c r="O35" s="20">
        <v>1520.481</v>
      </c>
      <c r="P35" s="33"/>
      <c r="Q35" s="20">
        <v>1314.349</v>
      </c>
      <c r="R35" s="18"/>
      <c r="S35" s="61">
        <v>376.813</v>
      </c>
      <c r="T35" s="61">
        <v>185.508</v>
      </c>
      <c r="U35" s="18"/>
      <c r="V35" s="9">
        <v>11799</v>
      </c>
      <c r="W35" s="18"/>
      <c r="X35" s="9">
        <f>1771.523+2055.205</f>
        <v>3826.728</v>
      </c>
      <c r="Y35" s="18"/>
      <c r="Z35" s="9">
        <v>6969.553</v>
      </c>
      <c r="AA35" s="18"/>
      <c r="AB35" s="33"/>
      <c r="AC35" s="9">
        <v>233955.926</v>
      </c>
      <c r="AD35" s="61">
        <v>52053.764</v>
      </c>
      <c r="AE35" s="61">
        <f t="shared" si="1"/>
        <v>286009.69</v>
      </c>
      <c r="AF35" s="37"/>
      <c r="AG35" s="9">
        <v>47808.954</v>
      </c>
      <c r="AH35" s="162">
        <v>14771.748</v>
      </c>
      <c r="AI35" s="18"/>
      <c r="AJ35" s="9">
        <v>74676.976</v>
      </c>
      <c r="AK35" s="9">
        <v>2340.561</v>
      </c>
      <c r="AL35" s="162">
        <v>2927.516</v>
      </c>
      <c r="AM35" s="33"/>
      <c r="AN35" s="162">
        <v>3209.375</v>
      </c>
      <c r="AO35" s="18"/>
      <c r="AP35" s="9">
        <v>228.08</v>
      </c>
      <c r="AQ35" s="18"/>
      <c r="AR35" s="37">
        <v>1279.0029418238055</v>
      </c>
      <c r="AS35" s="37"/>
      <c r="AT35" s="9">
        <v>3189.315</v>
      </c>
      <c r="AU35" s="9"/>
      <c r="AV35" s="162">
        <v>350.357</v>
      </c>
      <c r="AW35" s="9"/>
      <c r="AX35" s="162">
        <v>242.913</v>
      </c>
      <c r="AY35" s="37"/>
      <c r="AZ35" s="67">
        <v>173.53</v>
      </c>
      <c r="BA35" s="37"/>
      <c r="BB35" s="9">
        <v>850.841</v>
      </c>
      <c r="BC35" s="37"/>
      <c r="BD35" s="9">
        <v>235589</v>
      </c>
      <c r="BE35" s="37"/>
      <c r="BF35" s="9">
        <v>23309.592</v>
      </c>
      <c r="BG35" s="18"/>
      <c r="BH35" s="20">
        <v>0</v>
      </c>
      <c r="BI35" s="33"/>
      <c r="BJ35" s="20">
        <v>19500</v>
      </c>
      <c r="BK35" s="33"/>
      <c r="BL35" s="9">
        <v>20247.5</v>
      </c>
      <c r="BM35" s="18"/>
      <c r="BN35" s="18">
        <v>2270</v>
      </c>
      <c r="BO35" s="18"/>
      <c r="BP35" s="9">
        <v>41644.458</v>
      </c>
      <c r="BQ35" s="18"/>
      <c r="BR35" s="20">
        <v>30910</v>
      </c>
      <c r="BS35" s="33"/>
      <c r="BT35" s="33">
        <v>9593.5</v>
      </c>
      <c r="BU35" s="33">
        <f>18810.3-BT35</f>
        <v>9216.8</v>
      </c>
      <c r="BV35" s="33"/>
      <c r="BW35" s="9">
        <v>1711.147</v>
      </c>
      <c r="BX35" s="33"/>
      <c r="BY35" s="9">
        <v>359.968</v>
      </c>
      <c r="BZ35" s="18"/>
      <c r="CA35" s="9">
        <v>222.188</v>
      </c>
      <c r="CB35" s="18"/>
      <c r="CC35" s="9">
        <v>443.264</v>
      </c>
      <c r="CD35" s="18"/>
      <c r="CE35" s="18">
        <v>893.799</v>
      </c>
      <c r="CF35" s="18"/>
      <c r="CG35" s="61">
        <v>532.209</v>
      </c>
      <c r="CH35" s="18"/>
      <c r="CI35" s="9">
        <v>13065.679</v>
      </c>
      <c r="CJ35" s="18"/>
      <c r="CK35" s="9">
        <v>1792.357</v>
      </c>
      <c r="CL35" s="9">
        <v>3350.189</v>
      </c>
      <c r="CM35" s="18"/>
      <c r="CN35" s="9">
        <v>11380.566</v>
      </c>
      <c r="CO35" s="18"/>
      <c r="CP35" s="9">
        <v>7871.814</v>
      </c>
      <c r="CQ35" s="9"/>
      <c r="CR35" s="9">
        <v>6698.328</v>
      </c>
      <c r="CS35" s="9"/>
      <c r="CT35" s="9">
        <v>0</v>
      </c>
      <c r="CU35" s="18"/>
      <c r="CV35" s="9">
        <v>2278.06</v>
      </c>
      <c r="CW35" s="18"/>
      <c r="CX35" s="9">
        <v>618</v>
      </c>
      <c r="CY35" s="9">
        <v>15.663</v>
      </c>
      <c r="CZ35" s="18"/>
      <c r="DA35" s="18">
        <v>481.092</v>
      </c>
      <c r="DB35" s="18"/>
      <c r="DC35" s="9">
        <v>1217.18</v>
      </c>
      <c r="DD35" s="18"/>
      <c r="DE35" s="9">
        <v>8238.012</v>
      </c>
      <c r="DF35" s="18"/>
      <c r="DG35" s="70">
        <v>3116.126</v>
      </c>
      <c r="DH35" s="71"/>
      <c r="DI35" s="9">
        <v>3522.46</v>
      </c>
      <c r="DJ35" s="18"/>
      <c r="DK35" s="9">
        <v>182.015</v>
      </c>
      <c r="DL35" s="18"/>
      <c r="DM35" s="9">
        <v>1234.406</v>
      </c>
      <c r="DN35" s="9">
        <v>2944.616</v>
      </c>
      <c r="DO35" s="18"/>
      <c r="DP35" s="9">
        <v>2591.113</v>
      </c>
      <c r="DQ35" s="18"/>
      <c r="DR35" s="61">
        <v>151</v>
      </c>
      <c r="DS35" s="18"/>
      <c r="DT35" s="18">
        <v>295.8</v>
      </c>
      <c r="DU35" s="18"/>
      <c r="DV35" s="9">
        <v>0</v>
      </c>
      <c r="DW35" s="18"/>
      <c r="DX35" s="109">
        <f t="shared" si="0"/>
        <v>1251001.6679973628</v>
      </c>
      <c r="DY35" s="72"/>
      <c r="DZ35" s="54" t="s">
        <v>38</v>
      </c>
      <c r="EA35" s="37">
        <v>118400</v>
      </c>
      <c r="EB35" s="95">
        <v>83000</v>
      </c>
      <c r="EC35" s="61">
        <v>444.592</v>
      </c>
      <c r="ED35" s="61">
        <v>449.207</v>
      </c>
      <c r="EE35" s="33">
        <v>7500</v>
      </c>
      <c r="EF35" s="33">
        <v>835.312</v>
      </c>
      <c r="EG35" s="61">
        <v>30798</v>
      </c>
      <c r="EH35" s="61">
        <v>695.687</v>
      </c>
      <c r="EI35" s="61">
        <v>0</v>
      </c>
      <c r="EJ35" s="61">
        <v>28756.801</v>
      </c>
      <c r="EK35" s="119">
        <v>1086</v>
      </c>
    </row>
    <row r="36" spans="1:141" ht="12.75" hidden="1">
      <c r="A36" s="54" t="s">
        <v>39</v>
      </c>
      <c r="B36" s="33">
        <v>186735.491</v>
      </c>
      <c r="C36" s="89">
        <v>257057.21283876605</v>
      </c>
      <c r="D36" s="89"/>
      <c r="E36" s="89">
        <v>2293.6340699999973</v>
      </c>
      <c r="F36" s="89"/>
      <c r="G36" s="90">
        <v>5476.932618420004</v>
      </c>
      <c r="H36" s="89"/>
      <c r="I36" s="90">
        <v>7939.411764705882</v>
      </c>
      <c r="J36" s="33"/>
      <c r="K36" s="20">
        <v>3084.96</v>
      </c>
      <c r="L36" s="33"/>
      <c r="M36" s="20">
        <v>478.135</v>
      </c>
      <c r="N36" s="33"/>
      <c r="O36" s="20">
        <v>1464.164</v>
      </c>
      <c r="P36" s="33"/>
      <c r="Q36" s="20">
        <v>1821.106</v>
      </c>
      <c r="R36" s="18"/>
      <c r="S36" s="61">
        <v>493.561</v>
      </c>
      <c r="T36" s="61">
        <v>242.984</v>
      </c>
      <c r="U36" s="18"/>
      <c r="V36" s="9">
        <v>14315</v>
      </c>
      <c r="W36" s="18"/>
      <c r="X36" s="9">
        <f>1192.848+1085.645</f>
        <v>2278.493</v>
      </c>
      <c r="Y36" s="18"/>
      <c r="Z36" s="9">
        <v>5000</v>
      </c>
      <c r="AA36" s="18"/>
      <c r="AB36" s="33"/>
      <c r="AC36" s="9">
        <v>324404.728</v>
      </c>
      <c r="AD36" s="61">
        <v>72178.069</v>
      </c>
      <c r="AE36" s="61">
        <f t="shared" si="1"/>
        <v>396582.797</v>
      </c>
      <c r="AF36" s="37"/>
      <c r="AG36" s="9">
        <v>70126.139</v>
      </c>
      <c r="AH36" s="162">
        <v>19836.315</v>
      </c>
      <c r="AI36" s="18"/>
      <c r="AJ36" s="9">
        <v>67119.396</v>
      </c>
      <c r="AK36" s="9">
        <v>2391.08</v>
      </c>
      <c r="AL36" s="162">
        <v>4383.658</v>
      </c>
      <c r="AM36" s="33"/>
      <c r="AN36" s="162">
        <v>4235.108</v>
      </c>
      <c r="AO36" s="18"/>
      <c r="AP36" s="9">
        <v>523.263</v>
      </c>
      <c r="AQ36" s="18"/>
      <c r="AR36" s="37">
        <v>449.5388468841825</v>
      </c>
      <c r="AS36" s="37"/>
      <c r="AT36" s="9">
        <v>4217.502</v>
      </c>
      <c r="AU36" s="9"/>
      <c r="AV36" s="162">
        <v>423.991</v>
      </c>
      <c r="AW36" s="9"/>
      <c r="AX36" s="162">
        <v>242.913</v>
      </c>
      <c r="AY36" s="37"/>
      <c r="AZ36" s="67">
        <v>280.405</v>
      </c>
      <c r="BA36" s="37"/>
      <c r="BB36" s="9">
        <v>0</v>
      </c>
      <c r="BC36" s="37"/>
      <c r="BD36" s="9">
        <v>201352</v>
      </c>
      <c r="BE36" s="37"/>
      <c r="BF36" s="9">
        <v>49463.771</v>
      </c>
      <c r="BG36" s="18"/>
      <c r="BH36" s="20">
        <v>0</v>
      </c>
      <c r="BI36" s="33"/>
      <c r="BJ36" s="20">
        <v>19500</v>
      </c>
      <c r="BK36" s="33"/>
      <c r="BL36" s="9">
        <v>19433.4</v>
      </c>
      <c r="BM36" s="18"/>
      <c r="BN36" s="18">
        <v>1266</v>
      </c>
      <c r="BO36" s="18"/>
      <c r="BP36" s="9">
        <v>37281.937</v>
      </c>
      <c r="BQ36" s="18"/>
      <c r="BR36" s="20">
        <v>34714</v>
      </c>
      <c r="BS36" s="33"/>
      <c r="BT36" s="33">
        <v>9593.5</v>
      </c>
      <c r="BU36" s="33">
        <f>31983.5-BT36</f>
        <v>22390</v>
      </c>
      <c r="BV36" s="33"/>
      <c r="BW36" s="9">
        <v>2494.779</v>
      </c>
      <c r="BX36" s="33"/>
      <c r="BY36" s="9">
        <v>1037.043</v>
      </c>
      <c r="BZ36" s="18"/>
      <c r="CA36" s="9">
        <v>401.052</v>
      </c>
      <c r="CB36" s="18"/>
      <c r="CC36" s="9">
        <v>800.098</v>
      </c>
      <c r="CD36" s="18"/>
      <c r="CE36" s="18">
        <v>1747.6680000000001</v>
      </c>
      <c r="CF36" s="18"/>
      <c r="CG36" s="61">
        <v>679.103</v>
      </c>
      <c r="CH36" s="18"/>
      <c r="CI36" s="9">
        <v>10135.404</v>
      </c>
      <c r="CJ36" s="18"/>
      <c r="CK36" s="9">
        <v>4654.021</v>
      </c>
      <c r="CL36" s="9">
        <v>740.431</v>
      </c>
      <c r="CM36" s="18"/>
      <c r="CN36" s="9">
        <v>15184.795</v>
      </c>
      <c r="CO36" s="18"/>
      <c r="CP36" s="9">
        <v>8249.689</v>
      </c>
      <c r="CQ36" s="9"/>
      <c r="CR36" s="9">
        <v>5677.955</v>
      </c>
      <c r="CS36" s="9"/>
      <c r="CT36" s="9">
        <v>0</v>
      </c>
      <c r="CU36" s="18"/>
      <c r="CV36" s="9">
        <v>4735.205</v>
      </c>
      <c r="CW36" s="18"/>
      <c r="CX36" s="9">
        <v>672</v>
      </c>
      <c r="CY36" s="9">
        <v>544.273</v>
      </c>
      <c r="CZ36" s="18"/>
      <c r="DA36" s="18">
        <v>566.519</v>
      </c>
      <c r="DB36" s="18"/>
      <c r="DC36" s="9">
        <v>1496.089</v>
      </c>
      <c r="DD36" s="18"/>
      <c r="DE36" s="9">
        <v>13801.023</v>
      </c>
      <c r="DF36" s="18"/>
      <c r="DG36" s="75">
        <v>5495.529</v>
      </c>
      <c r="DH36" s="71"/>
      <c r="DI36" s="9">
        <v>3471.16</v>
      </c>
      <c r="DJ36" s="18"/>
      <c r="DK36" s="9">
        <v>126.306</v>
      </c>
      <c r="DL36" s="18"/>
      <c r="DM36" s="9">
        <v>3392.179</v>
      </c>
      <c r="DN36" s="9">
        <v>7570.212</v>
      </c>
      <c r="DO36" s="18"/>
      <c r="DP36" s="9">
        <v>14311.733</v>
      </c>
      <c r="DQ36" s="18"/>
      <c r="DR36" s="61">
        <v>251</v>
      </c>
      <c r="DS36" s="18"/>
      <c r="DT36" s="18">
        <v>300.5</v>
      </c>
      <c r="DU36" s="18"/>
      <c r="DV36" s="9">
        <v>0</v>
      </c>
      <c r="DW36" s="18"/>
      <c r="DX36" s="109">
        <f t="shared" si="0"/>
        <v>1563023.5651387763</v>
      </c>
      <c r="DY36" s="72"/>
      <c r="DZ36" s="54" t="s">
        <v>39</v>
      </c>
      <c r="EA36" s="37">
        <v>70600</v>
      </c>
      <c r="EB36" s="95">
        <v>84000</v>
      </c>
      <c r="EC36" s="61">
        <v>869.322</v>
      </c>
      <c r="ED36" s="61">
        <v>878.346</v>
      </c>
      <c r="EE36" s="33">
        <v>5510</v>
      </c>
      <c r="EF36" s="33">
        <v>0</v>
      </c>
      <c r="EG36" s="61">
        <v>50124</v>
      </c>
      <c r="EH36" s="61">
        <v>1137.015</v>
      </c>
      <c r="EI36" s="61">
        <v>76937</v>
      </c>
      <c r="EJ36" s="61">
        <v>21953.759</v>
      </c>
      <c r="EK36" s="119">
        <v>611</v>
      </c>
    </row>
    <row r="37" spans="1:141" ht="12.75" hidden="1">
      <c r="A37" s="55" t="s">
        <v>40</v>
      </c>
      <c r="B37" s="22">
        <v>86894.931</v>
      </c>
      <c r="C37" s="91">
        <v>175873.5576972671</v>
      </c>
      <c r="D37" s="89"/>
      <c r="E37" s="91">
        <v>7939.619999999988</v>
      </c>
      <c r="F37" s="89"/>
      <c r="G37" s="91">
        <v>2353.412188200001</v>
      </c>
      <c r="H37" s="89"/>
      <c r="I37" s="91">
        <v>7124.117647058823</v>
      </c>
      <c r="J37" s="33"/>
      <c r="K37" s="22">
        <v>4570.592</v>
      </c>
      <c r="L37" s="33"/>
      <c r="M37" s="22">
        <v>930</v>
      </c>
      <c r="N37" s="33"/>
      <c r="O37" s="22">
        <v>1660.216</v>
      </c>
      <c r="P37" s="33"/>
      <c r="Q37" s="22">
        <v>1024.579</v>
      </c>
      <c r="R37" s="18"/>
      <c r="S37" s="10">
        <v>325</v>
      </c>
      <c r="T37" s="10">
        <v>160</v>
      </c>
      <c r="U37" s="18"/>
      <c r="V37" s="11">
        <v>4736</v>
      </c>
      <c r="W37" s="18"/>
      <c r="X37" s="11">
        <f>657.641+649.915</f>
        <v>1307.556</v>
      </c>
      <c r="Y37" s="18"/>
      <c r="Z37" s="11">
        <v>5000</v>
      </c>
      <c r="AA37" s="18"/>
      <c r="AB37" s="33"/>
      <c r="AC37" s="11">
        <v>164243.954</v>
      </c>
      <c r="AD37" s="10">
        <v>36543.276</v>
      </c>
      <c r="AE37" s="10">
        <f t="shared" si="1"/>
        <v>200787.22999999998</v>
      </c>
      <c r="AF37" s="37"/>
      <c r="AG37" s="11">
        <v>30947.654</v>
      </c>
      <c r="AH37" s="142">
        <v>8588.214</v>
      </c>
      <c r="AI37" s="18"/>
      <c r="AJ37" s="11">
        <v>47461.265</v>
      </c>
      <c r="AK37" s="11">
        <v>1616.311</v>
      </c>
      <c r="AL37" s="142">
        <v>2398.294</v>
      </c>
      <c r="AM37" s="33"/>
      <c r="AN37" s="142">
        <v>3209.375</v>
      </c>
      <c r="AO37" s="18"/>
      <c r="AP37" s="11">
        <v>190.31</v>
      </c>
      <c r="AQ37" s="18"/>
      <c r="AR37" s="10">
        <v>1331.4298992865265</v>
      </c>
      <c r="AS37" s="37"/>
      <c r="AT37" s="11">
        <v>1923.884</v>
      </c>
      <c r="AU37" s="18"/>
      <c r="AV37" s="142">
        <v>350.357</v>
      </c>
      <c r="AW37" s="18"/>
      <c r="AX37" s="142">
        <v>242.913</v>
      </c>
      <c r="AY37" s="37"/>
      <c r="AZ37" s="73">
        <v>80.095</v>
      </c>
      <c r="BA37" s="37"/>
      <c r="BB37" s="11">
        <v>0</v>
      </c>
      <c r="BC37" s="37"/>
      <c r="BD37" s="11">
        <v>129441</v>
      </c>
      <c r="BE37" s="37"/>
      <c r="BF37" s="11">
        <v>13164.583999999999</v>
      </c>
      <c r="BG37" s="18"/>
      <c r="BH37" s="22">
        <v>0</v>
      </c>
      <c r="BI37" s="33"/>
      <c r="BJ37" s="22">
        <v>19500</v>
      </c>
      <c r="BK37" s="33"/>
      <c r="BL37" s="11">
        <v>39559.5</v>
      </c>
      <c r="BM37" s="18"/>
      <c r="BN37" s="11">
        <v>1286</v>
      </c>
      <c r="BO37" s="18"/>
      <c r="BP37" s="11">
        <v>23215.594</v>
      </c>
      <c r="BQ37" s="18"/>
      <c r="BR37" s="22">
        <v>25827</v>
      </c>
      <c r="BS37" s="33"/>
      <c r="BT37" s="22">
        <v>9593.5</v>
      </c>
      <c r="BU37" s="22">
        <f>12522.9-BT37</f>
        <v>2929.3999999999996</v>
      </c>
      <c r="BV37" s="33"/>
      <c r="BW37" s="11">
        <v>1262.477</v>
      </c>
      <c r="BX37" s="33"/>
      <c r="BY37" s="11">
        <v>320.332</v>
      </c>
      <c r="BZ37" s="18"/>
      <c r="CA37" s="11">
        <v>136.81</v>
      </c>
      <c r="CB37" s="18"/>
      <c r="CC37" s="11">
        <v>272.935</v>
      </c>
      <c r="CD37" s="18"/>
      <c r="CE37" s="11">
        <v>707.5360000000001</v>
      </c>
      <c r="CF37" s="18"/>
      <c r="CG37" s="10">
        <v>215.765</v>
      </c>
      <c r="CH37" s="18"/>
      <c r="CI37" s="11">
        <v>7725.542</v>
      </c>
      <c r="CJ37" s="18"/>
      <c r="CK37" s="11">
        <v>1051.485</v>
      </c>
      <c r="CL37" s="11">
        <v>2462.647</v>
      </c>
      <c r="CM37" s="18"/>
      <c r="CN37" s="11">
        <v>8269.787</v>
      </c>
      <c r="CO37" s="18"/>
      <c r="CP37" s="11">
        <v>5378.867</v>
      </c>
      <c r="CQ37" s="18"/>
      <c r="CR37" s="11">
        <v>8636.771</v>
      </c>
      <c r="CS37" s="18"/>
      <c r="CT37" s="11">
        <v>0</v>
      </c>
      <c r="CU37" s="18"/>
      <c r="CV37" s="11">
        <v>0</v>
      </c>
      <c r="CW37" s="18"/>
      <c r="CX37" s="11">
        <v>587</v>
      </c>
      <c r="CY37" s="11">
        <v>60.301</v>
      </c>
      <c r="CZ37" s="18"/>
      <c r="DA37" s="11">
        <v>475.306</v>
      </c>
      <c r="DB37" s="18"/>
      <c r="DC37" s="11">
        <v>1058.641</v>
      </c>
      <c r="DD37" s="18"/>
      <c r="DE37" s="11">
        <v>6253.755</v>
      </c>
      <c r="DF37" s="18"/>
      <c r="DG37" s="74">
        <v>2242.944</v>
      </c>
      <c r="DH37" s="71"/>
      <c r="DI37" s="11">
        <v>1617.171</v>
      </c>
      <c r="DJ37" s="18"/>
      <c r="DK37" s="11">
        <v>126.306</v>
      </c>
      <c r="DL37" s="18"/>
      <c r="DM37" s="11">
        <v>1234.406</v>
      </c>
      <c r="DN37" s="11">
        <v>2918.025</v>
      </c>
      <c r="DO37" s="18"/>
      <c r="DP37" s="11">
        <v>2501.984</v>
      </c>
      <c r="DQ37" s="18"/>
      <c r="DR37" s="10">
        <v>140</v>
      </c>
      <c r="DS37" s="18"/>
      <c r="DT37" s="11">
        <v>293.1</v>
      </c>
      <c r="DU37" s="18"/>
      <c r="DV37" s="11">
        <v>0</v>
      </c>
      <c r="DW37" s="18"/>
      <c r="DX37" s="110">
        <f t="shared" si="0"/>
        <v>919493.3844318124</v>
      </c>
      <c r="DY37" s="72"/>
      <c r="DZ37" s="55" t="s">
        <v>40</v>
      </c>
      <c r="EA37" s="10">
        <v>58000</v>
      </c>
      <c r="EB37" s="103">
        <v>38000</v>
      </c>
      <c r="EC37" s="10">
        <v>351.941</v>
      </c>
      <c r="ED37" s="10">
        <v>355.595</v>
      </c>
      <c r="EE37" s="33">
        <v>1551.5</v>
      </c>
      <c r="EF37" s="22">
        <v>0</v>
      </c>
      <c r="EG37" s="10">
        <v>29692</v>
      </c>
      <c r="EH37" s="10">
        <v>3935.88</v>
      </c>
      <c r="EI37" s="10">
        <v>31401</v>
      </c>
      <c r="EJ37" s="10">
        <v>19260.631</v>
      </c>
      <c r="EK37" s="183">
        <v>1348</v>
      </c>
    </row>
    <row r="38" spans="1:141" ht="12.75" hidden="1">
      <c r="A38" s="54" t="s">
        <v>41</v>
      </c>
      <c r="B38" s="33">
        <v>858930.667</v>
      </c>
      <c r="C38" s="89">
        <v>1401697.174624136</v>
      </c>
      <c r="D38" s="89"/>
      <c r="E38" s="89">
        <v>31924.90664999994</v>
      </c>
      <c r="F38" s="89"/>
      <c r="G38" s="90">
        <v>13633.066871700006</v>
      </c>
      <c r="H38" s="89"/>
      <c r="I38" s="90">
        <v>63321.17647058823</v>
      </c>
      <c r="J38" s="33"/>
      <c r="K38" s="20">
        <v>16987.384</v>
      </c>
      <c r="L38" s="33"/>
      <c r="M38" s="20">
        <v>2600</v>
      </c>
      <c r="N38" s="33"/>
      <c r="O38" s="20">
        <v>6820.825</v>
      </c>
      <c r="P38" s="33"/>
      <c r="Q38" s="20">
        <v>5936.031</v>
      </c>
      <c r="R38" s="18"/>
      <c r="S38" s="61">
        <v>1857.089</v>
      </c>
      <c r="T38" s="61">
        <v>914.259</v>
      </c>
      <c r="U38" s="18"/>
      <c r="V38" s="9">
        <v>34106</v>
      </c>
      <c r="W38" s="18"/>
      <c r="X38" s="9">
        <f>6338.304+5744.345</f>
        <v>12082.649000000001</v>
      </c>
      <c r="Y38" s="18"/>
      <c r="Z38" s="9">
        <v>27391.962</v>
      </c>
      <c r="AA38" s="18"/>
      <c r="AB38" s="33"/>
      <c r="AC38" s="9">
        <v>1088335.774</v>
      </c>
      <c r="AD38" s="61">
        <v>242148.057</v>
      </c>
      <c r="AE38" s="61">
        <f t="shared" si="1"/>
        <v>1330483.831</v>
      </c>
      <c r="AF38" s="37"/>
      <c r="AG38" s="9">
        <v>182971.299</v>
      </c>
      <c r="AH38" s="162">
        <v>56421.673</v>
      </c>
      <c r="AI38" s="18"/>
      <c r="AJ38" s="9">
        <v>360691.433</v>
      </c>
      <c r="AK38" s="9">
        <v>11804.929</v>
      </c>
      <c r="AL38" s="162">
        <v>12025.919</v>
      </c>
      <c r="AM38" s="33"/>
      <c r="AN38" s="162">
        <v>11972.572</v>
      </c>
      <c r="AO38" s="18"/>
      <c r="AP38" s="9">
        <v>908.581</v>
      </c>
      <c r="AQ38" s="18"/>
      <c r="AR38" s="37">
        <v>3974.503180446689</v>
      </c>
      <c r="AS38" s="37"/>
      <c r="AT38" s="9">
        <v>9455.472</v>
      </c>
      <c r="AU38" s="9"/>
      <c r="AV38" s="162">
        <v>2442.05</v>
      </c>
      <c r="AW38" s="9"/>
      <c r="AX38" s="162">
        <v>385.684</v>
      </c>
      <c r="AY38" s="37"/>
      <c r="AZ38" s="67">
        <v>1026.7</v>
      </c>
      <c r="BA38" s="37"/>
      <c r="BB38" s="9">
        <v>239.931</v>
      </c>
      <c r="BC38" s="37"/>
      <c r="BD38" s="9">
        <v>651774</v>
      </c>
      <c r="BE38" s="37"/>
      <c r="BF38" s="9">
        <v>447395.72699999996</v>
      </c>
      <c r="BG38" s="18"/>
      <c r="BH38" s="20">
        <v>76835.714</v>
      </c>
      <c r="BI38" s="33"/>
      <c r="BJ38" s="20">
        <v>43154</v>
      </c>
      <c r="BK38" s="33"/>
      <c r="BL38" s="9">
        <v>161764.5</v>
      </c>
      <c r="BM38" s="18"/>
      <c r="BN38" s="18">
        <v>4819</v>
      </c>
      <c r="BO38" s="18"/>
      <c r="BP38" s="9">
        <v>118821.296</v>
      </c>
      <c r="BQ38" s="18"/>
      <c r="BR38" s="20">
        <v>73643</v>
      </c>
      <c r="BS38" s="33"/>
      <c r="BT38" s="33">
        <v>14400.7</v>
      </c>
      <c r="BU38" s="33">
        <f>75468.2-BT38</f>
        <v>61067.5</v>
      </c>
      <c r="BV38" s="33"/>
      <c r="BW38" s="9">
        <v>8330.74</v>
      </c>
      <c r="BX38" s="33"/>
      <c r="BY38" s="9">
        <v>2710.244</v>
      </c>
      <c r="BZ38" s="18"/>
      <c r="CA38" s="9">
        <v>1088.854</v>
      </c>
      <c r="CB38" s="18"/>
      <c r="CC38" s="9">
        <v>2172.264</v>
      </c>
      <c r="CD38" s="18"/>
      <c r="CE38" s="18">
        <v>4494.109</v>
      </c>
      <c r="CF38" s="18"/>
      <c r="CG38" s="61">
        <v>1859.763</v>
      </c>
      <c r="CH38" s="18"/>
      <c r="CI38" s="9">
        <v>104165.767</v>
      </c>
      <c r="CJ38" s="18"/>
      <c r="CK38" s="9">
        <v>24798.735</v>
      </c>
      <c r="CL38" s="9">
        <v>1945.374</v>
      </c>
      <c r="CM38" s="18"/>
      <c r="CN38" s="9">
        <v>61243.67</v>
      </c>
      <c r="CO38" s="18"/>
      <c r="CP38" s="9">
        <v>40919.501</v>
      </c>
      <c r="CQ38" s="9"/>
      <c r="CR38" s="9">
        <v>78912.171</v>
      </c>
      <c r="CS38" s="9"/>
      <c r="CT38" s="9">
        <v>0</v>
      </c>
      <c r="CU38" s="18"/>
      <c r="CV38" s="9">
        <v>0</v>
      </c>
      <c r="CW38" s="18"/>
      <c r="CX38" s="9">
        <v>1074</v>
      </c>
      <c r="CY38" s="9">
        <v>1410.671</v>
      </c>
      <c r="CZ38" s="18"/>
      <c r="DA38" s="18">
        <v>901.077</v>
      </c>
      <c r="DB38" s="18"/>
      <c r="DC38" s="9">
        <v>3624.711</v>
      </c>
      <c r="DD38" s="18"/>
      <c r="DE38" s="9">
        <v>29754.315</v>
      </c>
      <c r="DF38" s="18"/>
      <c r="DG38" s="70">
        <v>14773.097</v>
      </c>
      <c r="DH38" s="71"/>
      <c r="DI38" s="9">
        <v>10662.171</v>
      </c>
      <c r="DJ38" s="18"/>
      <c r="DK38" s="9">
        <v>669.969</v>
      </c>
      <c r="DL38" s="18"/>
      <c r="DM38" s="9">
        <v>9386.433</v>
      </c>
      <c r="DN38" s="9">
        <v>20834.103</v>
      </c>
      <c r="DO38" s="18"/>
      <c r="DP38" s="9">
        <v>32706.42</v>
      </c>
      <c r="DQ38" s="18"/>
      <c r="DR38" s="61">
        <v>839</v>
      </c>
      <c r="DS38" s="18"/>
      <c r="DT38" s="18">
        <v>336.9</v>
      </c>
      <c r="DU38" s="18"/>
      <c r="DV38" s="9">
        <v>1890</v>
      </c>
      <c r="DW38" s="18"/>
      <c r="DX38" s="109">
        <f t="shared" si="0"/>
        <v>6578187.263796873</v>
      </c>
      <c r="DY38" s="72"/>
      <c r="DZ38" s="54" t="s">
        <v>41</v>
      </c>
      <c r="EA38" s="37">
        <v>507100</v>
      </c>
      <c r="EB38" s="95">
        <v>297000</v>
      </c>
      <c r="EC38" s="61">
        <v>2235.452</v>
      </c>
      <c r="ED38" s="61">
        <v>2258.657</v>
      </c>
      <c r="EE38" s="33">
        <v>14502</v>
      </c>
      <c r="EF38" s="33">
        <v>290</v>
      </c>
      <c r="EG38" s="61">
        <v>275298</v>
      </c>
      <c r="EH38" s="61">
        <v>15826.022</v>
      </c>
      <c r="EI38" s="61">
        <v>206823</v>
      </c>
      <c r="EJ38" s="61">
        <v>202017.412</v>
      </c>
      <c r="EK38" s="119">
        <v>5541</v>
      </c>
    </row>
    <row r="39" spans="1:141" ht="12.75" hidden="1">
      <c r="A39" s="54" t="s">
        <v>42</v>
      </c>
      <c r="B39" s="33">
        <v>227437.9</v>
      </c>
      <c r="C39" s="89">
        <v>432952.3560503274</v>
      </c>
      <c r="D39" s="89"/>
      <c r="E39" s="89">
        <v>498.852175</v>
      </c>
      <c r="F39" s="89"/>
      <c r="G39" s="90">
        <v>2827.8517424120037</v>
      </c>
      <c r="H39" s="89"/>
      <c r="I39" s="90">
        <v>4573.411764705882</v>
      </c>
      <c r="J39" s="33"/>
      <c r="K39" s="20">
        <v>12817.555</v>
      </c>
      <c r="L39" s="33"/>
      <c r="M39" s="20">
        <v>0</v>
      </c>
      <c r="N39" s="33"/>
      <c r="O39" s="20">
        <v>4945.441</v>
      </c>
      <c r="P39" s="33"/>
      <c r="Q39" s="20">
        <v>1089.701</v>
      </c>
      <c r="R39" s="18"/>
      <c r="S39" s="61">
        <v>403.054</v>
      </c>
      <c r="T39" s="61">
        <v>198.426</v>
      </c>
      <c r="U39" s="18"/>
      <c r="V39" s="9">
        <v>17817</v>
      </c>
      <c r="W39" s="18"/>
      <c r="X39" s="9">
        <f>2569.433+2855.09</f>
        <v>5424.523</v>
      </c>
      <c r="Y39" s="18"/>
      <c r="Z39" s="9">
        <v>5695.092</v>
      </c>
      <c r="AA39" s="18"/>
      <c r="AB39" s="33"/>
      <c r="AC39" s="9">
        <v>260436.399</v>
      </c>
      <c r="AD39" s="61">
        <v>57945.507</v>
      </c>
      <c r="AE39" s="61">
        <f t="shared" si="1"/>
        <v>318381.906</v>
      </c>
      <c r="AF39" s="37"/>
      <c r="AG39" s="9">
        <v>80803.396</v>
      </c>
      <c r="AH39" s="162">
        <v>24143.708</v>
      </c>
      <c r="AI39" s="18"/>
      <c r="AJ39" s="9">
        <v>91147.493</v>
      </c>
      <c r="AK39" s="9">
        <v>3401.589</v>
      </c>
      <c r="AL39" s="162">
        <v>9086.348</v>
      </c>
      <c r="AM39" s="33"/>
      <c r="AN39" s="162">
        <v>5138.804</v>
      </c>
      <c r="AO39" s="18"/>
      <c r="AP39" s="9">
        <v>548.313</v>
      </c>
      <c r="AQ39" s="18"/>
      <c r="AR39" s="37">
        <v>1422.1695310745931</v>
      </c>
      <c r="AS39" s="37"/>
      <c r="AT39" s="9">
        <v>4426.362</v>
      </c>
      <c r="AU39" s="9"/>
      <c r="AV39" s="162">
        <v>350.357</v>
      </c>
      <c r="AW39" s="9"/>
      <c r="AX39" s="162">
        <v>242.913</v>
      </c>
      <c r="AY39" s="37"/>
      <c r="AZ39" s="67">
        <v>213.3</v>
      </c>
      <c r="BA39" s="37"/>
      <c r="BB39" s="9">
        <v>4254.203</v>
      </c>
      <c r="BC39" s="37"/>
      <c r="BD39" s="9">
        <v>252644</v>
      </c>
      <c r="BE39" s="37"/>
      <c r="BF39" s="9">
        <v>27749.995000000003</v>
      </c>
      <c r="BG39" s="18"/>
      <c r="BH39" s="20">
        <v>0</v>
      </c>
      <c r="BI39" s="33"/>
      <c r="BJ39" s="20">
        <v>19500</v>
      </c>
      <c r="BK39" s="33"/>
      <c r="BL39" s="9">
        <v>19433.4</v>
      </c>
      <c r="BM39" s="18"/>
      <c r="BN39" s="18">
        <v>1590</v>
      </c>
      <c r="BO39" s="18"/>
      <c r="BP39" s="9">
        <v>26855.604</v>
      </c>
      <c r="BQ39" s="18"/>
      <c r="BR39" s="20">
        <v>31821</v>
      </c>
      <c r="BS39" s="33"/>
      <c r="BT39" s="33">
        <v>9593.5</v>
      </c>
      <c r="BU39" s="33">
        <f>20608.3-BT39</f>
        <v>11014.8</v>
      </c>
      <c r="BV39" s="33"/>
      <c r="BW39" s="9">
        <v>1903.927</v>
      </c>
      <c r="BX39" s="33"/>
      <c r="BY39" s="9">
        <v>413.896</v>
      </c>
      <c r="BZ39" s="18"/>
      <c r="CA39" s="9">
        <v>346.644</v>
      </c>
      <c r="CB39" s="18"/>
      <c r="CC39" s="9">
        <v>691.557</v>
      </c>
      <c r="CD39" s="18"/>
      <c r="CE39" s="18">
        <v>2232.391</v>
      </c>
      <c r="CF39" s="18"/>
      <c r="CG39" s="61">
        <v>924.743</v>
      </c>
      <c r="CH39" s="18"/>
      <c r="CI39" s="9">
        <v>9313.573</v>
      </c>
      <c r="CJ39" s="18"/>
      <c r="CK39" s="9">
        <v>1808.367</v>
      </c>
      <c r="CL39" s="9">
        <v>3802.222</v>
      </c>
      <c r="CM39" s="18"/>
      <c r="CN39" s="9">
        <v>13876.558</v>
      </c>
      <c r="CO39" s="18"/>
      <c r="CP39" s="9">
        <v>8585.909</v>
      </c>
      <c r="CQ39" s="9"/>
      <c r="CR39" s="9">
        <v>5592.108</v>
      </c>
      <c r="CS39" s="9"/>
      <c r="CT39" s="9">
        <v>0</v>
      </c>
      <c r="CU39" s="18"/>
      <c r="CV39" s="9">
        <v>6840.644</v>
      </c>
      <c r="CW39" s="18"/>
      <c r="CX39" s="9">
        <v>631</v>
      </c>
      <c r="CY39" s="9">
        <v>201.524</v>
      </c>
      <c r="CZ39" s="18"/>
      <c r="DA39" s="18">
        <v>488.527</v>
      </c>
      <c r="DB39" s="18"/>
      <c r="DC39" s="9">
        <v>1228.45</v>
      </c>
      <c r="DD39" s="18"/>
      <c r="DE39" s="9">
        <v>11093.109</v>
      </c>
      <c r="DF39" s="18"/>
      <c r="DG39" s="70">
        <v>2787.327</v>
      </c>
      <c r="DH39" s="71"/>
      <c r="DI39" s="9">
        <v>3289.073</v>
      </c>
      <c r="DJ39" s="18"/>
      <c r="DK39" s="9">
        <v>133.606</v>
      </c>
      <c r="DL39" s="18"/>
      <c r="DM39" s="9">
        <v>2659.786</v>
      </c>
      <c r="DN39" s="9">
        <v>6235.678</v>
      </c>
      <c r="DO39" s="18"/>
      <c r="DP39" s="9">
        <v>2960.889</v>
      </c>
      <c r="DQ39" s="18"/>
      <c r="DR39" s="61">
        <v>213</v>
      </c>
      <c r="DS39" s="18"/>
      <c r="DT39" s="18">
        <v>297</v>
      </c>
      <c r="DU39" s="18"/>
      <c r="DV39" s="9">
        <v>0</v>
      </c>
      <c r="DW39" s="18"/>
      <c r="DX39" s="109">
        <f t="shared" si="0"/>
        <v>1748995.8322635205</v>
      </c>
      <c r="DY39" s="72"/>
      <c r="DZ39" s="54" t="s">
        <v>42</v>
      </c>
      <c r="EA39" s="37">
        <v>190000</v>
      </c>
      <c r="EB39" s="95">
        <v>172000</v>
      </c>
      <c r="EC39" s="61">
        <v>1110.432</v>
      </c>
      <c r="ED39" s="61">
        <v>1121.959</v>
      </c>
      <c r="EE39" s="33">
        <v>4487.857</v>
      </c>
      <c r="EF39" s="33">
        <v>588.394</v>
      </c>
      <c r="EG39" s="61">
        <v>65280</v>
      </c>
      <c r="EH39" s="61">
        <v>500.771</v>
      </c>
      <c r="EI39" s="61">
        <v>13008</v>
      </c>
      <c r="EJ39" s="61">
        <v>55289.05</v>
      </c>
      <c r="EK39" s="119">
        <v>3166</v>
      </c>
    </row>
    <row r="40" spans="1:141" ht="12.75" hidden="1">
      <c r="A40" s="54" t="s">
        <v>43</v>
      </c>
      <c r="B40" s="33">
        <v>4478505.243</v>
      </c>
      <c r="C40" s="89">
        <v>7177220.208970811</v>
      </c>
      <c r="D40" s="89"/>
      <c r="E40" s="89">
        <v>79657.2913499999</v>
      </c>
      <c r="F40" s="89"/>
      <c r="G40" s="90">
        <v>113716.91465760005</v>
      </c>
      <c r="H40" s="89"/>
      <c r="I40" s="90">
        <v>101088.70588235294</v>
      </c>
      <c r="J40" s="33"/>
      <c r="K40" s="20">
        <v>53202.437</v>
      </c>
      <c r="L40" s="33"/>
      <c r="M40" s="20">
        <v>7068.705</v>
      </c>
      <c r="N40" s="33"/>
      <c r="O40" s="20">
        <v>19439.038</v>
      </c>
      <c r="P40" s="33"/>
      <c r="Q40" s="20">
        <v>12118.648</v>
      </c>
      <c r="R40" s="18"/>
      <c r="S40" s="61">
        <v>4148.718</v>
      </c>
      <c r="T40" s="61">
        <v>2042.446</v>
      </c>
      <c r="U40" s="18"/>
      <c r="V40" s="9">
        <v>96786</v>
      </c>
      <c r="W40" s="18"/>
      <c r="X40" s="9">
        <f>21282.341+18764.002</f>
        <v>40046.343</v>
      </c>
      <c r="Y40" s="18"/>
      <c r="Z40" s="9">
        <v>86780.94</v>
      </c>
      <c r="AA40" s="18"/>
      <c r="AB40" s="33"/>
      <c r="AC40" s="9">
        <v>2468557.791</v>
      </c>
      <c r="AD40" s="61">
        <v>549239.019</v>
      </c>
      <c r="AE40" s="61">
        <f t="shared" si="1"/>
        <v>3017796.81</v>
      </c>
      <c r="AF40" s="37"/>
      <c r="AG40" s="9">
        <v>907152.149</v>
      </c>
      <c r="AH40" s="162">
        <v>261295.098</v>
      </c>
      <c r="AI40" s="18"/>
      <c r="AJ40" s="9">
        <v>759193.324</v>
      </c>
      <c r="AK40" s="9">
        <v>35017.461</v>
      </c>
      <c r="AL40" s="162">
        <v>26406.499</v>
      </c>
      <c r="AM40" s="33"/>
      <c r="AN40" s="162">
        <v>55621.51</v>
      </c>
      <c r="AO40" s="18"/>
      <c r="AP40" s="9">
        <v>6136.119</v>
      </c>
      <c r="AQ40" s="18"/>
      <c r="AR40" s="37">
        <v>19826.764081639332</v>
      </c>
      <c r="AS40" s="37"/>
      <c r="AT40" s="9">
        <v>25694.844</v>
      </c>
      <c r="AU40" s="9"/>
      <c r="AV40" s="162">
        <v>5425.563</v>
      </c>
      <c r="AW40" s="9"/>
      <c r="AX40" s="162">
        <v>856.884</v>
      </c>
      <c r="AY40" s="37"/>
      <c r="AZ40" s="67">
        <v>2297.73</v>
      </c>
      <c r="BA40" s="37"/>
      <c r="BB40" s="9">
        <v>620.394</v>
      </c>
      <c r="BC40" s="37"/>
      <c r="BD40" s="9">
        <v>1120685</v>
      </c>
      <c r="BE40" s="37"/>
      <c r="BF40" s="9">
        <v>967435.186</v>
      </c>
      <c r="BG40" s="18"/>
      <c r="BH40" s="20">
        <v>254817.805</v>
      </c>
      <c r="BI40" s="33"/>
      <c r="BJ40" s="20">
        <v>86811</v>
      </c>
      <c r="BK40" s="33"/>
      <c r="BL40" s="9">
        <v>436933.3</v>
      </c>
      <c r="BM40" s="18"/>
      <c r="BN40" s="18">
        <v>9235</v>
      </c>
      <c r="BO40" s="18"/>
      <c r="BP40" s="9">
        <v>394686.513</v>
      </c>
      <c r="BQ40" s="18"/>
      <c r="BR40" s="20">
        <v>123110</v>
      </c>
      <c r="BS40" s="33"/>
      <c r="BT40" s="33">
        <v>29760.6</v>
      </c>
      <c r="BU40" s="33">
        <f>175122.3-BT40</f>
        <v>145361.69999999998</v>
      </c>
      <c r="BV40" s="33"/>
      <c r="BW40" s="9">
        <v>18700.327</v>
      </c>
      <c r="BX40" s="33"/>
      <c r="BY40" s="9">
        <v>5597.271</v>
      </c>
      <c r="BZ40" s="18"/>
      <c r="CA40" s="9">
        <v>3100.894</v>
      </c>
      <c r="CB40" s="18"/>
      <c r="CC40" s="9">
        <v>6186.287</v>
      </c>
      <c r="CD40" s="18"/>
      <c r="CE40" s="18">
        <v>24402.283</v>
      </c>
      <c r="CF40" s="18"/>
      <c r="CG40" s="61">
        <v>5990.474</v>
      </c>
      <c r="CH40" s="18"/>
      <c r="CI40" s="9">
        <v>502345.293</v>
      </c>
      <c r="CJ40" s="18"/>
      <c r="CK40" s="9">
        <v>78543.048</v>
      </c>
      <c r="CL40" s="9">
        <v>12878.999</v>
      </c>
      <c r="CM40" s="18"/>
      <c r="CN40" s="9">
        <v>252659.616</v>
      </c>
      <c r="CO40" s="18"/>
      <c r="CP40" s="9">
        <v>141420.983</v>
      </c>
      <c r="CQ40" s="9"/>
      <c r="CR40" s="9">
        <v>234818.32</v>
      </c>
      <c r="CS40" s="9"/>
      <c r="CT40" s="9">
        <v>2038.081</v>
      </c>
      <c r="CU40" s="18"/>
      <c r="CV40" s="9">
        <v>2672.247</v>
      </c>
      <c r="CW40" s="18"/>
      <c r="CX40" s="9">
        <v>1789</v>
      </c>
      <c r="CY40" s="9">
        <v>2829.174</v>
      </c>
      <c r="CZ40" s="18"/>
      <c r="DA40" s="18">
        <v>1618.399</v>
      </c>
      <c r="DB40" s="18"/>
      <c r="DC40" s="9">
        <v>7374.913</v>
      </c>
      <c r="DD40" s="18"/>
      <c r="DE40" s="9">
        <v>67268.484</v>
      </c>
      <c r="DF40" s="18"/>
      <c r="DG40" s="70">
        <v>29481.579</v>
      </c>
      <c r="DH40" s="71"/>
      <c r="DI40" s="9">
        <v>22855.217</v>
      </c>
      <c r="DJ40" s="18"/>
      <c r="DK40" s="9">
        <v>1568.423</v>
      </c>
      <c r="DL40" s="18"/>
      <c r="DM40" s="9">
        <v>31516.111</v>
      </c>
      <c r="DN40" s="9">
        <v>71526.36</v>
      </c>
      <c r="DO40" s="18"/>
      <c r="DP40" s="9">
        <v>66368.188</v>
      </c>
      <c r="DQ40" s="18"/>
      <c r="DR40" s="61">
        <v>1940</v>
      </c>
      <c r="DS40" s="18"/>
      <c r="DT40" s="18">
        <v>399.9</v>
      </c>
      <c r="DU40" s="18"/>
      <c r="DV40" s="9">
        <v>470</v>
      </c>
      <c r="DW40" s="18"/>
      <c r="DX40" s="109">
        <f aca="true" t="shared" si="2" ref="DX40:DX63">SUM(B40:DV40)-AE40</f>
        <v>22562358.762942422</v>
      </c>
      <c r="DY40" s="72"/>
      <c r="DZ40" s="54" t="s">
        <v>43</v>
      </c>
      <c r="EA40" s="37">
        <v>1746600</v>
      </c>
      <c r="EB40" s="95">
        <v>1289000</v>
      </c>
      <c r="EC40" s="61">
        <v>12138.141</v>
      </c>
      <c r="ED40" s="61">
        <v>12264.142</v>
      </c>
      <c r="EE40" s="33">
        <v>109562.683</v>
      </c>
      <c r="EF40" s="33">
        <v>4352.288</v>
      </c>
      <c r="EG40" s="61">
        <v>1000000</v>
      </c>
      <c r="EH40" s="61">
        <v>39488.23</v>
      </c>
      <c r="EI40" s="61">
        <v>412742</v>
      </c>
      <c r="EJ40" s="61">
        <v>1221465.301</v>
      </c>
      <c r="EK40" s="119">
        <v>10024</v>
      </c>
    </row>
    <row r="41" spans="1:141" s="126" customFormat="1" ht="12.75" hidden="1">
      <c r="A41" s="115" t="s">
        <v>44</v>
      </c>
      <c r="B41" s="33">
        <v>944468.803</v>
      </c>
      <c r="C41" s="89">
        <v>1182624.610788833</v>
      </c>
      <c r="D41" s="89"/>
      <c r="E41" s="89">
        <v>14629.665959999973</v>
      </c>
      <c r="F41" s="89"/>
      <c r="G41" s="90">
        <v>11863.759001988006</v>
      </c>
      <c r="H41" s="89"/>
      <c r="I41" s="90">
        <v>52737.882352941175</v>
      </c>
      <c r="J41" s="116"/>
      <c r="K41" s="117">
        <v>20139.445</v>
      </c>
      <c r="L41" s="116"/>
      <c r="M41" s="117">
        <v>2600</v>
      </c>
      <c r="N41" s="116"/>
      <c r="O41" s="117">
        <v>8636.285</v>
      </c>
      <c r="P41" s="116"/>
      <c r="Q41" s="20">
        <v>5153.105</v>
      </c>
      <c r="R41" s="121"/>
      <c r="S41" s="119">
        <v>1855.37</v>
      </c>
      <c r="T41" s="119">
        <v>913.413</v>
      </c>
      <c r="U41" s="121"/>
      <c r="V41" s="9">
        <v>67543</v>
      </c>
      <c r="W41" s="121"/>
      <c r="X41" s="9">
        <f>6940.705+7374.141</f>
        <v>14314.846</v>
      </c>
      <c r="Y41" s="121"/>
      <c r="Z41" s="9">
        <v>26243.124</v>
      </c>
      <c r="AA41" s="121"/>
      <c r="AB41" s="116"/>
      <c r="AC41" s="118">
        <v>1161931.564</v>
      </c>
      <c r="AD41" s="119">
        <v>258522.671</v>
      </c>
      <c r="AE41" s="119">
        <f t="shared" si="1"/>
        <v>1420454.235</v>
      </c>
      <c r="AF41" s="120"/>
      <c r="AG41" s="118">
        <v>257444.956</v>
      </c>
      <c r="AH41" s="162">
        <v>77001.055</v>
      </c>
      <c r="AI41" s="121"/>
      <c r="AJ41" s="118">
        <v>314410.039</v>
      </c>
      <c r="AK41" s="118">
        <v>12071.141</v>
      </c>
      <c r="AL41" s="162">
        <v>14506.562</v>
      </c>
      <c r="AM41" s="116"/>
      <c r="AN41" s="162">
        <v>16337.364</v>
      </c>
      <c r="AO41" s="121"/>
      <c r="AP41" s="9">
        <v>1627.01</v>
      </c>
      <c r="AQ41" s="121"/>
      <c r="AR41" s="120">
        <v>4777.311609638976</v>
      </c>
      <c r="AS41" s="120"/>
      <c r="AT41" s="118">
        <v>18029.008</v>
      </c>
      <c r="AU41" s="118"/>
      <c r="AV41" s="162">
        <v>2547.512</v>
      </c>
      <c r="AW41" s="118"/>
      <c r="AX41" s="162">
        <v>402.34</v>
      </c>
      <c r="AY41" s="120"/>
      <c r="AZ41" s="122">
        <v>1042.363</v>
      </c>
      <c r="BA41" s="120"/>
      <c r="BB41" s="118">
        <v>0</v>
      </c>
      <c r="BC41" s="120"/>
      <c r="BD41" s="118">
        <v>735527</v>
      </c>
      <c r="BE41" s="120"/>
      <c r="BF41" s="118">
        <v>103304.242</v>
      </c>
      <c r="BG41" s="121"/>
      <c r="BH41" s="117">
        <v>0</v>
      </c>
      <c r="BI41" s="116"/>
      <c r="BJ41" s="117">
        <v>65625</v>
      </c>
      <c r="BK41" s="116"/>
      <c r="BL41" s="118">
        <v>71443.5</v>
      </c>
      <c r="BM41" s="121"/>
      <c r="BN41" s="121">
        <v>7554</v>
      </c>
      <c r="BO41" s="121"/>
      <c r="BP41" s="118">
        <v>131954.536</v>
      </c>
      <c r="BQ41" s="121"/>
      <c r="BR41" s="117">
        <v>75989</v>
      </c>
      <c r="BS41" s="116"/>
      <c r="BT41" s="116">
        <v>20925.3</v>
      </c>
      <c r="BU41" s="116">
        <f>58050.3-BT41</f>
        <v>37125</v>
      </c>
      <c r="BV41" s="116"/>
      <c r="BW41" s="9">
        <v>8848.616</v>
      </c>
      <c r="BX41" s="116"/>
      <c r="BY41" s="9">
        <v>3335.422</v>
      </c>
      <c r="BZ41" s="121"/>
      <c r="CA41" s="118">
        <v>1553.624</v>
      </c>
      <c r="CB41" s="121"/>
      <c r="CC41" s="118">
        <v>3099.478</v>
      </c>
      <c r="CD41" s="121"/>
      <c r="CE41" s="18">
        <v>9279.257</v>
      </c>
      <c r="CF41" s="121"/>
      <c r="CG41" s="119">
        <v>3313.727</v>
      </c>
      <c r="CH41" s="121"/>
      <c r="CI41" s="118">
        <v>83426.611</v>
      </c>
      <c r="CJ41" s="121"/>
      <c r="CK41" s="118">
        <v>6921.506</v>
      </c>
      <c r="CL41" s="118">
        <v>12080.614</v>
      </c>
      <c r="CM41" s="121"/>
      <c r="CN41" s="118">
        <v>52152.687</v>
      </c>
      <c r="CO41" s="121"/>
      <c r="CP41" s="118">
        <v>29078.387</v>
      </c>
      <c r="CQ41" s="118"/>
      <c r="CR41" s="118">
        <v>13607.147</v>
      </c>
      <c r="CS41" s="118"/>
      <c r="CT41" s="118">
        <v>4922.273</v>
      </c>
      <c r="CU41" s="121"/>
      <c r="CV41" s="118">
        <v>6577.208</v>
      </c>
      <c r="CW41" s="121"/>
      <c r="CX41" s="118">
        <v>1110</v>
      </c>
      <c r="CY41" s="118">
        <v>647.906</v>
      </c>
      <c r="CZ41" s="121"/>
      <c r="DA41" s="121">
        <v>879.04</v>
      </c>
      <c r="DB41" s="121"/>
      <c r="DC41" s="118">
        <v>3784.21</v>
      </c>
      <c r="DD41" s="121"/>
      <c r="DE41" s="118">
        <v>34491.558</v>
      </c>
      <c r="DF41" s="121"/>
      <c r="DG41" s="123">
        <v>14647.397</v>
      </c>
      <c r="DH41" s="124"/>
      <c r="DI41" s="118">
        <v>11091.396</v>
      </c>
      <c r="DJ41" s="121"/>
      <c r="DK41" s="118">
        <v>621.56</v>
      </c>
      <c r="DL41" s="121"/>
      <c r="DM41" s="118">
        <v>10337.165</v>
      </c>
      <c r="DN41" s="118">
        <v>25070.698</v>
      </c>
      <c r="DO41" s="121"/>
      <c r="DP41" s="118">
        <v>44419.273</v>
      </c>
      <c r="DQ41" s="121"/>
      <c r="DR41" s="119">
        <v>891</v>
      </c>
      <c r="DS41" s="121"/>
      <c r="DT41" s="18">
        <v>339.1</v>
      </c>
      <c r="DU41" s="121"/>
      <c r="DV41" s="118">
        <v>16294</v>
      </c>
      <c r="DW41" s="121"/>
      <c r="DX41" s="109">
        <f t="shared" si="2"/>
        <v>6146642.6437134</v>
      </c>
      <c r="DY41" s="125"/>
      <c r="DZ41" s="115" t="s">
        <v>44</v>
      </c>
      <c r="EA41" s="120">
        <v>649400</v>
      </c>
      <c r="EB41" s="95">
        <v>616000</v>
      </c>
      <c r="EC41" s="119">
        <v>4616.677</v>
      </c>
      <c r="ED41" s="119">
        <v>4662.58</v>
      </c>
      <c r="EE41" s="116">
        <v>21864</v>
      </c>
      <c r="EF41" s="116">
        <v>312</v>
      </c>
      <c r="EG41" s="119">
        <v>214319</v>
      </c>
      <c r="EH41" s="119">
        <v>7252.313</v>
      </c>
      <c r="EI41" s="119">
        <v>0</v>
      </c>
      <c r="EJ41" s="119">
        <v>151119.8</v>
      </c>
      <c r="EK41" s="119">
        <v>43960</v>
      </c>
    </row>
    <row r="42" spans="1:141" ht="12.75" hidden="1">
      <c r="A42" s="55" t="s">
        <v>45</v>
      </c>
      <c r="B42" s="22">
        <v>38842.091</v>
      </c>
      <c r="C42" s="91">
        <v>63821.90368061501</v>
      </c>
      <c r="D42" s="89"/>
      <c r="E42" s="91">
        <v>233.92724999999882</v>
      </c>
      <c r="F42" s="89"/>
      <c r="G42" s="91">
        <v>2208.0830989200012</v>
      </c>
      <c r="H42" s="89"/>
      <c r="I42" s="91">
        <v>6534</v>
      </c>
      <c r="J42" s="33"/>
      <c r="K42" s="22">
        <v>1907.83</v>
      </c>
      <c r="L42" s="33"/>
      <c r="M42" s="22">
        <v>0</v>
      </c>
      <c r="N42" s="33"/>
      <c r="O42" s="22">
        <v>674.036</v>
      </c>
      <c r="P42" s="33"/>
      <c r="Q42" s="22">
        <v>531.109</v>
      </c>
      <c r="R42" s="18"/>
      <c r="S42" s="10">
        <v>325</v>
      </c>
      <c r="T42" s="10">
        <v>160</v>
      </c>
      <c r="U42" s="18"/>
      <c r="V42" s="11">
        <v>3644</v>
      </c>
      <c r="W42" s="18"/>
      <c r="X42" s="11">
        <f>843.783+933.284</f>
        <v>1777.067</v>
      </c>
      <c r="Y42" s="18"/>
      <c r="Z42" s="11">
        <v>4573.445</v>
      </c>
      <c r="AA42" s="18"/>
      <c r="AB42" s="33"/>
      <c r="AC42" s="11">
        <v>85644.337</v>
      </c>
      <c r="AD42" s="10">
        <v>19055.342</v>
      </c>
      <c r="AE42" s="10">
        <f t="shared" si="1"/>
        <v>104699.679</v>
      </c>
      <c r="AF42" s="37"/>
      <c r="AG42" s="11">
        <v>27437.105</v>
      </c>
      <c r="AH42" s="142">
        <v>7631.521</v>
      </c>
      <c r="AI42" s="18"/>
      <c r="AJ42" s="11">
        <v>26552.439</v>
      </c>
      <c r="AK42" s="11">
        <v>861.549</v>
      </c>
      <c r="AL42" s="142">
        <v>2398.294</v>
      </c>
      <c r="AM42" s="33"/>
      <c r="AN42" s="142">
        <v>3209.375</v>
      </c>
      <c r="AO42" s="18"/>
      <c r="AP42" s="11">
        <v>175.966</v>
      </c>
      <c r="AQ42" s="18"/>
      <c r="AR42" s="10">
        <v>677.0379973699921</v>
      </c>
      <c r="AS42" s="37"/>
      <c r="AT42" s="11">
        <v>1800</v>
      </c>
      <c r="AU42" s="18"/>
      <c r="AV42" s="142">
        <v>350.357</v>
      </c>
      <c r="AW42" s="18"/>
      <c r="AX42" s="142">
        <v>242.913</v>
      </c>
      <c r="AY42" s="37"/>
      <c r="AZ42" s="73">
        <v>3.17</v>
      </c>
      <c r="BA42" s="37"/>
      <c r="BB42" s="11">
        <v>1184.02</v>
      </c>
      <c r="BC42" s="37"/>
      <c r="BD42" s="11">
        <v>170126</v>
      </c>
      <c r="BE42" s="37"/>
      <c r="BF42" s="11">
        <v>10997.09</v>
      </c>
      <c r="BG42" s="18"/>
      <c r="BH42" s="22">
        <v>0</v>
      </c>
      <c r="BI42" s="33"/>
      <c r="BJ42" s="22">
        <v>19500</v>
      </c>
      <c r="BK42" s="33"/>
      <c r="BL42" s="11">
        <v>19433.4</v>
      </c>
      <c r="BM42" s="18"/>
      <c r="BN42" s="11">
        <v>0</v>
      </c>
      <c r="BO42" s="18"/>
      <c r="BP42" s="11">
        <v>25266.33</v>
      </c>
      <c r="BQ42" s="18"/>
      <c r="BR42" s="22">
        <v>24585</v>
      </c>
      <c r="BS42" s="33"/>
      <c r="BT42" s="22">
        <v>9593.5</v>
      </c>
      <c r="BU42" s="22">
        <f>12810.3-BT42</f>
        <v>3216.7999999999993</v>
      </c>
      <c r="BV42" s="33"/>
      <c r="BW42" s="11">
        <v>615.481</v>
      </c>
      <c r="BX42" s="33"/>
      <c r="BY42" s="11">
        <v>131.54</v>
      </c>
      <c r="BZ42" s="18"/>
      <c r="CA42" s="11">
        <v>85.426</v>
      </c>
      <c r="CB42" s="18"/>
      <c r="CC42" s="11">
        <v>170.426</v>
      </c>
      <c r="CD42" s="18"/>
      <c r="CE42" s="11">
        <v>411.62</v>
      </c>
      <c r="CF42" s="18"/>
      <c r="CG42" s="10">
        <v>215.764</v>
      </c>
      <c r="CH42" s="18"/>
      <c r="CI42" s="11">
        <v>3433.512</v>
      </c>
      <c r="CJ42" s="18"/>
      <c r="CK42" s="11">
        <v>387.55</v>
      </c>
      <c r="CL42" s="11">
        <v>1299.857</v>
      </c>
      <c r="CM42" s="18"/>
      <c r="CN42" s="11">
        <v>4860.574</v>
      </c>
      <c r="CO42" s="18"/>
      <c r="CP42" s="11">
        <v>2582.637</v>
      </c>
      <c r="CQ42" s="18"/>
      <c r="CR42" s="11">
        <v>2925.706</v>
      </c>
      <c r="CS42" s="18"/>
      <c r="CT42" s="11">
        <v>0</v>
      </c>
      <c r="CU42" s="18"/>
      <c r="CV42" s="11">
        <v>7844.842</v>
      </c>
      <c r="CW42" s="18"/>
      <c r="CX42" s="11">
        <v>542</v>
      </c>
      <c r="CY42" s="11">
        <v>78.313</v>
      </c>
      <c r="CZ42" s="18"/>
      <c r="DA42" s="11">
        <v>413.449</v>
      </c>
      <c r="DB42" s="18"/>
      <c r="DC42" s="11">
        <v>812.159</v>
      </c>
      <c r="DD42" s="18"/>
      <c r="DE42" s="11">
        <v>3162.336</v>
      </c>
      <c r="DF42" s="18"/>
      <c r="DG42" s="74">
        <v>1039.443</v>
      </c>
      <c r="DH42" s="71"/>
      <c r="DI42" s="11">
        <v>2984.613</v>
      </c>
      <c r="DJ42" s="18"/>
      <c r="DK42" s="11">
        <v>143.288</v>
      </c>
      <c r="DL42" s="18"/>
      <c r="DM42" s="11">
        <v>1234.406</v>
      </c>
      <c r="DN42" s="11">
        <v>2918.025</v>
      </c>
      <c r="DO42" s="18"/>
      <c r="DP42" s="11">
        <v>916.452</v>
      </c>
      <c r="DQ42" s="18"/>
      <c r="DR42" s="10">
        <v>0</v>
      </c>
      <c r="DS42" s="18"/>
      <c r="DT42" s="137">
        <v>290</v>
      </c>
      <c r="DU42" s="18"/>
      <c r="DV42" s="11">
        <v>0</v>
      </c>
      <c r="DW42" s="18"/>
      <c r="DX42" s="110">
        <f t="shared" si="2"/>
        <v>624673.4570269049</v>
      </c>
      <c r="DY42" s="72"/>
      <c r="DZ42" s="55" t="s">
        <v>45</v>
      </c>
      <c r="EA42" s="10">
        <v>61700</v>
      </c>
      <c r="EB42" s="103">
        <v>30000</v>
      </c>
      <c r="EC42" s="10">
        <v>204.747</v>
      </c>
      <c r="ED42" s="10">
        <v>206.873</v>
      </c>
      <c r="EE42" s="22">
        <v>3266.23</v>
      </c>
      <c r="EF42" s="22">
        <v>0</v>
      </c>
      <c r="EG42" s="10">
        <v>11183</v>
      </c>
      <c r="EH42" s="10">
        <v>234.827</v>
      </c>
      <c r="EI42" s="10">
        <v>0</v>
      </c>
      <c r="EJ42" s="10">
        <v>13199.905</v>
      </c>
      <c r="EK42" s="183">
        <v>778</v>
      </c>
    </row>
    <row r="43" spans="1:141" ht="12.75" hidden="1">
      <c r="A43" s="54" t="s">
        <v>46</v>
      </c>
      <c r="B43" s="33">
        <v>1228942.631</v>
      </c>
      <c r="C43" s="89">
        <v>1799456.3775777533</v>
      </c>
      <c r="D43" s="89"/>
      <c r="E43" s="89">
        <v>20146.78574999997</v>
      </c>
      <c r="F43" s="89"/>
      <c r="G43" s="90">
        <v>40326.667142400016</v>
      </c>
      <c r="H43" s="89"/>
      <c r="I43" s="90">
        <v>114432.35294117646</v>
      </c>
      <c r="J43" s="33"/>
      <c r="K43" s="20">
        <v>21283.725</v>
      </c>
      <c r="L43" s="33"/>
      <c r="M43" s="20">
        <v>6362.316</v>
      </c>
      <c r="N43" s="33"/>
      <c r="O43" s="20">
        <v>8036.51</v>
      </c>
      <c r="P43" s="33"/>
      <c r="Q43" s="20">
        <v>7500.366</v>
      </c>
      <c r="R43" s="18"/>
      <c r="S43" s="61">
        <v>2502.601</v>
      </c>
      <c r="T43" s="61">
        <v>1232.05</v>
      </c>
      <c r="U43" s="18"/>
      <c r="V43" s="9">
        <v>68140</v>
      </c>
      <c r="W43" s="18"/>
      <c r="X43" s="9">
        <f>12129.787+14164.983</f>
        <v>26294.77</v>
      </c>
      <c r="Y43" s="18"/>
      <c r="Z43" s="9">
        <v>38976.102</v>
      </c>
      <c r="AA43" s="18"/>
      <c r="AB43" s="33"/>
      <c r="AC43" s="9">
        <v>1463709.963</v>
      </c>
      <c r="AD43" s="61">
        <v>325666.52</v>
      </c>
      <c r="AE43" s="61">
        <f t="shared" si="1"/>
        <v>1789376.483</v>
      </c>
      <c r="AF43" s="37"/>
      <c r="AG43" s="9">
        <v>372673.474</v>
      </c>
      <c r="AH43" s="162">
        <v>112015.916</v>
      </c>
      <c r="AI43" s="18"/>
      <c r="AJ43" s="9">
        <v>437736.052</v>
      </c>
      <c r="AK43" s="9">
        <v>13359.358</v>
      </c>
      <c r="AL43" s="162">
        <v>16403.578</v>
      </c>
      <c r="AM43" s="33"/>
      <c r="AN43" s="162">
        <v>23863.457</v>
      </c>
      <c r="AO43" s="18"/>
      <c r="AP43" s="9">
        <v>1913.813</v>
      </c>
      <c r="AQ43" s="18"/>
      <c r="AR43" s="37">
        <v>7712.88155448025</v>
      </c>
      <c r="AS43" s="37"/>
      <c r="AT43" s="9">
        <v>21589.801</v>
      </c>
      <c r="AU43" s="9"/>
      <c r="AV43" s="162">
        <v>3223.928</v>
      </c>
      <c r="AW43" s="9"/>
      <c r="AX43" s="162">
        <v>509.17</v>
      </c>
      <c r="AY43" s="37"/>
      <c r="AZ43" s="67">
        <v>1392.958</v>
      </c>
      <c r="BA43" s="37"/>
      <c r="BB43" s="9">
        <v>0</v>
      </c>
      <c r="BC43" s="37"/>
      <c r="BD43" s="9">
        <v>935677</v>
      </c>
      <c r="BE43" s="37"/>
      <c r="BF43" s="9">
        <v>167035.629</v>
      </c>
      <c r="BG43" s="18"/>
      <c r="BH43" s="20">
        <v>12772.779</v>
      </c>
      <c r="BI43" s="33"/>
      <c r="BJ43" s="20">
        <v>58460</v>
      </c>
      <c r="BK43" s="33"/>
      <c r="BL43" s="9">
        <v>222851.9</v>
      </c>
      <c r="BM43" s="18"/>
      <c r="BN43" s="18">
        <v>8080</v>
      </c>
      <c r="BO43" s="18"/>
      <c r="BP43" s="9">
        <v>266781.409</v>
      </c>
      <c r="BQ43" s="18"/>
      <c r="BR43" s="20">
        <v>96083</v>
      </c>
      <c r="BS43" s="33"/>
      <c r="BT43" s="33">
        <v>24979.6</v>
      </c>
      <c r="BU43" s="33">
        <f>84183.3-BT43</f>
        <v>59203.700000000004</v>
      </c>
      <c r="BV43" s="33"/>
      <c r="BW43" s="9">
        <v>11020.37</v>
      </c>
      <c r="BX43" s="33"/>
      <c r="BY43" s="9">
        <v>4256.632</v>
      </c>
      <c r="BZ43" s="18"/>
      <c r="CA43" s="9">
        <v>1997.284</v>
      </c>
      <c r="CB43" s="18"/>
      <c r="CC43" s="9">
        <v>3984.58</v>
      </c>
      <c r="CD43" s="18"/>
      <c r="CE43" s="18">
        <v>11093.252</v>
      </c>
      <c r="CF43" s="18"/>
      <c r="CG43" s="61">
        <v>2957.271</v>
      </c>
      <c r="CH43" s="18"/>
      <c r="CI43" s="9">
        <v>128325.949</v>
      </c>
      <c r="CJ43" s="18"/>
      <c r="CK43" s="9">
        <v>29952.254</v>
      </c>
      <c r="CL43" s="9">
        <v>12957.517</v>
      </c>
      <c r="CM43" s="18"/>
      <c r="CN43" s="9">
        <v>83484.547</v>
      </c>
      <c r="CO43" s="18"/>
      <c r="CP43" s="9">
        <v>65653.996</v>
      </c>
      <c r="CQ43" s="9"/>
      <c r="CR43" s="9">
        <v>95549.269</v>
      </c>
      <c r="CS43" s="9"/>
      <c r="CT43" s="9">
        <v>875</v>
      </c>
      <c r="CU43" s="18"/>
      <c r="CV43" s="9">
        <v>0</v>
      </c>
      <c r="CW43" s="18"/>
      <c r="CX43" s="9">
        <v>1260</v>
      </c>
      <c r="CY43" s="9">
        <v>2000.627</v>
      </c>
      <c r="CZ43" s="18"/>
      <c r="DA43" s="18">
        <v>1122.272</v>
      </c>
      <c r="DB43" s="18"/>
      <c r="DC43" s="9">
        <v>4604.597</v>
      </c>
      <c r="DD43" s="18"/>
      <c r="DE43" s="9">
        <v>38048.939</v>
      </c>
      <c r="DF43" s="18"/>
      <c r="DG43" s="70">
        <v>18893.471</v>
      </c>
      <c r="DH43" s="71"/>
      <c r="DI43" s="9">
        <v>15017.635</v>
      </c>
      <c r="DJ43" s="18"/>
      <c r="DK43" s="9">
        <v>1035.934</v>
      </c>
      <c r="DL43" s="18"/>
      <c r="DM43" s="9">
        <v>23386.373</v>
      </c>
      <c r="DN43" s="9">
        <v>56158.51</v>
      </c>
      <c r="DO43" s="18"/>
      <c r="DP43" s="9">
        <v>58511.252</v>
      </c>
      <c r="DQ43" s="18"/>
      <c r="DR43" s="61">
        <v>1229</v>
      </c>
      <c r="DS43" s="18"/>
      <c r="DT43" s="18">
        <v>353.4</v>
      </c>
      <c r="DU43" s="18"/>
      <c r="DV43" s="9">
        <v>1246</v>
      </c>
      <c r="DW43" s="18"/>
      <c r="DX43" s="109">
        <f t="shared" si="2"/>
        <v>8712305.071965806</v>
      </c>
      <c r="DY43" s="72"/>
      <c r="DZ43" s="54" t="s">
        <v>46</v>
      </c>
      <c r="EA43" s="37">
        <v>975700</v>
      </c>
      <c r="EB43" s="95">
        <v>756000</v>
      </c>
      <c r="EC43" s="61">
        <v>5517.986</v>
      </c>
      <c r="ED43" s="61">
        <v>5575.266</v>
      </c>
      <c r="EE43" s="33">
        <v>39643.331</v>
      </c>
      <c r="EF43" s="33">
        <v>736.328</v>
      </c>
      <c r="EG43" s="61">
        <v>320447</v>
      </c>
      <c r="EH43" s="61">
        <v>9987.296</v>
      </c>
      <c r="EI43" s="61">
        <v>88170</v>
      </c>
      <c r="EJ43" s="61">
        <v>363984.13</v>
      </c>
      <c r="EK43" s="119">
        <v>19139</v>
      </c>
    </row>
    <row r="44" spans="1:141" ht="12.75" hidden="1">
      <c r="A44" s="54" t="s">
        <v>47</v>
      </c>
      <c r="B44" s="33">
        <v>354111.56</v>
      </c>
      <c r="C44" s="89">
        <v>616668.171782727</v>
      </c>
      <c r="D44" s="89"/>
      <c r="E44" s="89">
        <v>886.8482499999955</v>
      </c>
      <c r="F44" s="89"/>
      <c r="G44" s="90">
        <v>9642.53472106799</v>
      </c>
      <c r="H44" s="89"/>
      <c r="I44" s="90">
        <v>16270.94117647059</v>
      </c>
      <c r="J44" s="33"/>
      <c r="K44" s="20">
        <v>7818.39</v>
      </c>
      <c r="L44" s="33"/>
      <c r="M44" s="20">
        <v>7800</v>
      </c>
      <c r="N44" s="33"/>
      <c r="O44" s="20">
        <v>3216.626</v>
      </c>
      <c r="P44" s="33"/>
      <c r="Q44" s="20">
        <v>2153.981</v>
      </c>
      <c r="R44" s="18"/>
      <c r="S44" s="61">
        <v>784.386</v>
      </c>
      <c r="T44" s="61">
        <v>386.159</v>
      </c>
      <c r="U44" s="18"/>
      <c r="V44" s="9">
        <v>30159</v>
      </c>
      <c r="W44" s="18"/>
      <c r="X44" s="9">
        <f>3981.896+5229.295</f>
        <v>9211.191</v>
      </c>
      <c r="Y44" s="18"/>
      <c r="Z44" s="9">
        <v>11965.297</v>
      </c>
      <c r="AA44" s="18"/>
      <c r="AB44" s="33"/>
      <c r="AC44" s="9">
        <v>472820.714</v>
      </c>
      <c r="AD44" s="61">
        <v>105199.719</v>
      </c>
      <c r="AE44" s="61">
        <f t="shared" si="1"/>
        <v>578020.433</v>
      </c>
      <c r="AF44" s="37"/>
      <c r="AG44" s="9">
        <v>109442.502</v>
      </c>
      <c r="AH44" s="162">
        <v>33027.611</v>
      </c>
      <c r="AI44" s="18"/>
      <c r="AJ44" s="9">
        <v>147924.906</v>
      </c>
      <c r="AK44" s="9">
        <v>3881.94</v>
      </c>
      <c r="AL44" s="162">
        <v>5907.674</v>
      </c>
      <c r="AM44" s="33"/>
      <c r="AN44" s="162">
        <v>7019.163</v>
      </c>
      <c r="AO44" s="18"/>
      <c r="AP44" s="9">
        <v>786.074</v>
      </c>
      <c r="AQ44" s="18"/>
      <c r="AR44" s="37">
        <v>2168.6966824845176</v>
      </c>
      <c r="AS44" s="37"/>
      <c r="AT44" s="9">
        <v>7583.851</v>
      </c>
      <c r="AU44" s="9"/>
      <c r="AV44" s="162">
        <v>936.944</v>
      </c>
      <c r="AW44" s="9"/>
      <c r="AX44" s="162">
        <v>242.913</v>
      </c>
      <c r="AY44" s="37"/>
      <c r="AZ44" s="67">
        <v>430.314</v>
      </c>
      <c r="BA44" s="37"/>
      <c r="BB44" s="9">
        <v>108.809</v>
      </c>
      <c r="BC44" s="37"/>
      <c r="BD44" s="9">
        <v>464655</v>
      </c>
      <c r="BE44" s="37"/>
      <c r="BF44" s="9">
        <v>39163.565</v>
      </c>
      <c r="BG44" s="18"/>
      <c r="BH44" s="20">
        <v>0</v>
      </c>
      <c r="BI44" s="33"/>
      <c r="BJ44" s="20">
        <v>31481</v>
      </c>
      <c r="BK44" s="33"/>
      <c r="BL44" s="9">
        <v>31981.9</v>
      </c>
      <c r="BM44" s="18"/>
      <c r="BN44" s="18">
        <v>2336</v>
      </c>
      <c r="BO44" s="18"/>
      <c r="BP44" s="9">
        <v>60903.196</v>
      </c>
      <c r="BQ44" s="18"/>
      <c r="BR44" s="20">
        <v>46704</v>
      </c>
      <c r="BS44" s="33"/>
      <c r="BT44" s="33">
        <v>9593.5</v>
      </c>
      <c r="BU44" s="33">
        <f>27172.5-BT44</f>
        <v>17579</v>
      </c>
      <c r="BV44" s="33"/>
      <c r="BW44" s="9">
        <v>3494.731</v>
      </c>
      <c r="BX44" s="33"/>
      <c r="BY44" s="9">
        <v>724.409</v>
      </c>
      <c r="BZ44" s="18"/>
      <c r="CA44" s="9">
        <v>581.704</v>
      </c>
      <c r="CB44" s="18"/>
      <c r="CC44" s="9">
        <v>1160.501</v>
      </c>
      <c r="CD44" s="18"/>
      <c r="CE44" s="18">
        <v>3314.8689999999997</v>
      </c>
      <c r="CF44" s="18"/>
      <c r="CG44" s="61">
        <v>1519.638</v>
      </c>
      <c r="CH44" s="18"/>
      <c r="CI44" s="9">
        <v>25124.917</v>
      </c>
      <c r="CJ44" s="18"/>
      <c r="CK44" s="9">
        <v>3703.872</v>
      </c>
      <c r="CL44" s="9">
        <v>4333.265</v>
      </c>
      <c r="CM44" s="18"/>
      <c r="CN44" s="9">
        <v>25723.568</v>
      </c>
      <c r="CO44" s="18"/>
      <c r="CP44" s="9">
        <v>12297.934</v>
      </c>
      <c r="CQ44" s="9"/>
      <c r="CR44" s="9">
        <v>10762.053</v>
      </c>
      <c r="CS44" s="9"/>
      <c r="CT44" s="9">
        <v>0</v>
      </c>
      <c r="CU44" s="18"/>
      <c r="CV44" s="9">
        <v>37465.268</v>
      </c>
      <c r="CW44" s="18"/>
      <c r="CX44" s="9">
        <v>741</v>
      </c>
      <c r="CY44" s="9">
        <v>360.499</v>
      </c>
      <c r="CZ44" s="18"/>
      <c r="DA44" s="18">
        <v>635.36</v>
      </c>
      <c r="DB44" s="18"/>
      <c r="DC44" s="9">
        <v>1773.156</v>
      </c>
      <c r="DD44" s="18"/>
      <c r="DE44" s="9">
        <v>16394.796</v>
      </c>
      <c r="DF44" s="18"/>
      <c r="DG44" s="70">
        <v>5420.463</v>
      </c>
      <c r="DH44" s="71"/>
      <c r="DI44" s="9">
        <v>3912.797</v>
      </c>
      <c r="DJ44" s="18"/>
      <c r="DK44" s="9">
        <v>381.456</v>
      </c>
      <c r="DL44" s="18"/>
      <c r="DM44" s="9">
        <v>3650.17</v>
      </c>
      <c r="DN44" s="9">
        <v>8708.036</v>
      </c>
      <c r="DO44" s="18"/>
      <c r="DP44" s="9">
        <v>6023.463</v>
      </c>
      <c r="DQ44" s="18"/>
      <c r="DR44" s="61">
        <v>353</v>
      </c>
      <c r="DS44" s="18"/>
      <c r="DT44" s="18">
        <v>306.8</v>
      </c>
      <c r="DU44" s="18"/>
      <c r="DV44" s="9">
        <v>0</v>
      </c>
      <c r="DW44" s="18"/>
      <c r="DX44" s="109">
        <f t="shared" si="2"/>
        <v>2851821.802612749</v>
      </c>
      <c r="DY44" s="72"/>
      <c r="DZ44" s="54" t="s">
        <v>47</v>
      </c>
      <c r="EA44" s="37">
        <v>341800</v>
      </c>
      <c r="EB44" s="95">
        <v>302000</v>
      </c>
      <c r="EC44" s="61">
        <v>1648.876</v>
      </c>
      <c r="ED44" s="61">
        <v>1665.993</v>
      </c>
      <c r="EE44" s="33">
        <v>4554</v>
      </c>
      <c r="EF44" s="33">
        <v>213.95</v>
      </c>
      <c r="EG44" s="61">
        <v>108762</v>
      </c>
      <c r="EH44" s="61">
        <v>890.259</v>
      </c>
      <c r="EI44" s="61">
        <v>75886</v>
      </c>
      <c r="EJ44" s="61">
        <v>72640.721</v>
      </c>
      <c r="EK44" s="119">
        <v>4185</v>
      </c>
    </row>
    <row r="45" spans="1:141" ht="12.75" hidden="1">
      <c r="A45" s="54" t="s">
        <v>48</v>
      </c>
      <c r="B45" s="33">
        <v>349863.593</v>
      </c>
      <c r="C45" s="89">
        <v>503213.93494310696</v>
      </c>
      <c r="D45" s="89"/>
      <c r="E45" s="89">
        <v>1108.5603249999986</v>
      </c>
      <c r="F45" s="89"/>
      <c r="G45" s="90">
        <v>10198.501690499997</v>
      </c>
      <c r="H45" s="89"/>
      <c r="I45" s="90">
        <v>22257.529411764706</v>
      </c>
      <c r="J45" s="33"/>
      <c r="K45" s="20">
        <v>14622.689</v>
      </c>
      <c r="L45" s="33"/>
      <c r="M45" s="20">
        <v>0</v>
      </c>
      <c r="N45" s="33"/>
      <c r="O45" s="20">
        <v>5977.971</v>
      </c>
      <c r="P45" s="33"/>
      <c r="Q45" s="20">
        <v>2490.016</v>
      </c>
      <c r="R45" s="18"/>
      <c r="S45" s="61">
        <v>817.179</v>
      </c>
      <c r="T45" s="61">
        <v>402.303</v>
      </c>
      <c r="U45" s="18"/>
      <c r="V45" s="9">
        <v>22510</v>
      </c>
      <c r="W45" s="18"/>
      <c r="X45" s="9">
        <f>2921.668+4279.378</f>
        <v>7201.046</v>
      </c>
      <c r="Y45" s="18"/>
      <c r="Z45" s="9">
        <v>7989.158</v>
      </c>
      <c r="AA45" s="18"/>
      <c r="AB45" s="33"/>
      <c r="AC45" s="9">
        <v>466461.533</v>
      </c>
      <c r="AD45" s="61">
        <v>103784.84</v>
      </c>
      <c r="AE45" s="61">
        <f t="shared" si="1"/>
        <v>570246.373</v>
      </c>
      <c r="AF45" s="37"/>
      <c r="AG45" s="9">
        <v>93735.666</v>
      </c>
      <c r="AH45" s="162">
        <v>29142.931</v>
      </c>
      <c r="AI45" s="18"/>
      <c r="AJ45" s="9">
        <v>128979.436</v>
      </c>
      <c r="AK45" s="9">
        <v>3999.911</v>
      </c>
      <c r="AL45" s="162">
        <v>5487.762</v>
      </c>
      <c r="AM45" s="33"/>
      <c r="AN45" s="162">
        <v>6004.508</v>
      </c>
      <c r="AO45" s="18"/>
      <c r="AP45" s="9">
        <v>1030.141</v>
      </c>
      <c r="AQ45" s="18"/>
      <c r="AR45" s="37">
        <v>2692.5890465961384</v>
      </c>
      <c r="AS45" s="37"/>
      <c r="AT45" s="9">
        <v>7064.114</v>
      </c>
      <c r="AU45" s="9"/>
      <c r="AV45" s="162">
        <v>1000.404</v>
      </c>
      <c r="AW45" s="9"/>
      <c r="AX45" s="162">
        <v>242.913</v>
      </c>
      <c r="AY45" s="37"/>
      <c r="AZ45" s="67">
        <v>463.792</v>
      </c>
      <c r="BA45" s="37"/>
      <c r="BB45" s="9">
        <v>0</v>
      </c>
      <c r="BC45" s="37"/>
      <c r="BD45" s="9">
        <v>333902</v>
      </c>
      <c r="BE45" s="37"/>
      <c r="BF45" s="9">
        <v>74591.211</v>
      </c>
      <c r="BG45" s="18"/>
      <c r="BH45" s="20">
        <v>1125.728</v>
      </c>
      <c r="BI45" s="33"/>
      <c r="BJ45" s="20">
        <v>28515</v>
      </c>
      <c r="BK45" s="33"/>
      <c r="BL45" s="9">
        <v>44718.2</v>
      </c>
      <c r="BM45" s="18"/>
      <c r="BN45" s="18">
        <v>2694</v>
      </c>
      <c r="BO45" s="18"/>
      <c r="BP45" s="9">
        <v>38512.236</v>
      </c>
      <c r="BQ45" s="18"/>
      <c r="BR45" s="20">
        <v>42182</v>
      </c>
      <c r="BS45" s="33"/>
      <c r="BT45" s="33">
        <v>9593.5</v>
      </c>
      <c r="BU45" s="33">
        <f>33501.5-BT45</f>
        <v>23908</v>
      </c>
      <c r="BV45" s="33"/>
      <c r="BW45" s="9">
        <v>3636.443</v>
      </c>
      <c r="BX45" s="33"/>
      <c r="BY45" s="9">
        <v>1375.025</v>
      </c>
      <c r="BZ45" s="18"/>
      <c r="CA45" s="9">
        <v>626.014</v>
      </c>
      <c r="CB45" s="18"/>
      <c r="CC45" s="9">
        <v>1248.897</v>
      </c>
      <c r="CD45" s="18"/>
      <c r="CE45" s="18">
        <v>5629.7119999999995</v>
      </c>
      <c r="CF45" s="18"/>
      <c r="CG45" s="61">
        <v>1030.828</v>
      </c>
      <c r="CH45" s="18"/>
      <c r="CI45" s="9">
        <v>14365.739</v>
      </c>
      <c r="CJ45" s="18"/>
      <c r="CK45" s="9">
        <v>5904.958</v>
      </c>
      <c r="CL45" s="9">
        <v>3837.579</v>
      </c>
      <c r="CM45" s="18"/>
      <c r="CN45" s="9">
        <v>27343.971</v>
      </c>
      <c r="CO45" s="18"/>
      <c r="CP45" s="9">
        <v>14907.179</v>
      </c>
      <c r="CQ45" s="9"/>
      <c r="CR45" s="9">
        <v>11464.379</v>
      </c>
      <c r="CS45" s="9"/>
      <c r="CT45" s="9">
        <v>0</v>
      </c>
      <c r="CU45" s="18"/>
      <c r="CV45" s="9">
        <v>4805.287</v>
      </c>
      <c r="CW45" s="18"/>
      <c r="CX45" s="9">
        <v>751</v>
      </c>
      <c r="CY45" s="9">
        <v>356.583</v>
      </c>
      <c r="CZ45" s="18"/>
      <c r="DA45" s="18">
        <v>655.983</v>
      </c>
      <c r="DB45" s="18"/>
      <c r="DC45" s="9">
        <v>1906.545</v>
      </c>
      <c r="DD45" s="18"/>
      <c r="DE45" s="9">
        <v>13499.675</v>
      </c>
      <c r="DF45" s="18"/>
      <c r="DG45" s="70">
        <v>6112.474</v>
      </c>
      <c r="DH45" s="71"/>
      <c r="DI45" s="9">
        <v>4898.31</v>
      </c>
      <c r="DJ45" s="18"/>
      <c r="DK45" s="9">
        <v>348.538</v>
      </c>
      <c r="DL45" s="18"/>
      <c r="DM45" s="9">
        <v>6327.64</v>
      </c>
      <c r="DN45" s="9">
        <v>15068.081</v>
      </c>
      <c r="DO45" s="18"/>
      <c r="DP45" s="9">
        <v>17162.449</v>
      </c>
      <c r="DQ45" s="18"/>
      <c r="DR45" s="61">
        <v>366</v>
      </c>
      <c r="DS45" s="18"/>
      <c r="DT45" s="18">
        <v>307.6</v>
      </c>
      <c r="DU45" s="18"/>
      <c r="DV45" s="9">
        <v>0</v>
      </c>
      <c r="DW45" s="18"/>
      <c r="DX45" s="109">
        <f t="shared" si="2"/>
        <v>2562421.785416968</v>
      </c>
      <c r="DY45" s="72"/>
      <c r="DZ45" s="54" t="s">
        <v>48</v>
      </c>
      <c r="EA45" s="37">
        <v>281800</v>
      </c>
      <c r="EB45" s="95">
        <v>307000</v>
      </c>
      <c r="EC45" s="61">
        <v>2800.321</v>
      </c>
      <c r="ED45" s="61">
        <v>2829.391</v>
      </c>
      <c r="EE45" s="33">
        <v>7125.338</v>
      </c>
      <c r="EF45" s="33">
        <v>406.593</v>
      </c>
      <c r="EG45" s="61">
        <v>94639</v>
      </c>
      <c r="EH45" s="61">
        <v>1112.824</v>
      </c>
      <c r="EI45" s="61">
        <v>85575</v>
      </c>
      <c r="EJ45" s="61">
        <v>83399.315</v>
      </c>
      <c r="EK45" s="119">
        <v>9977</v>
      </c>
    </row>
    <row r="46" spans="1:141" ht="12.75" hidden="1">
      <c r="A46" s="54" t="s">
        <v>49</v>
      </c>
      <c r="B46" s="33">
        <v>1569220.925</v>
      </c>
      <c r="C46" s="89">
        <v>2311043.9804719016</v>
      </c>
      <c r="D46" s="89"/>
      <c r="E46" s="89">
        <v>27833.559389999973</v>
      </c>
      <c r="F46" s="89"/>
      <c r="G46" s="90">
        <v>55281.26817120003</v>
      </c>
      <c r="H46" s="89"/>
      <c r="I46" s="90">
        <v>99516.35294117646</v>
      </c>
      <c r="J46" s="33"/>
      <c r="K46" s="20">
        <v>27585.293</v>
      </c>
      <c r="L46" s="33"/>
      <c r="M46" s="20">
        <v>6716.568</v>
      </c>
      <c r="N46" s="33"/>
      <c r="O46" s="20">
        <v>9448.774</v>
      </c>
      <c r="P46" s="33"/>
      <c r="Q46" s="20">
        <v>8159.088</v>
      </c>
      <c r="R46" s="18"/>
      <c r="S46" s="61">
        <v>3005.971</v>
      </c>
      <c r="T46" s="61">
        <v>1479.863</v>
      </c>
      <c r="U46" s="18"/>
      <c r="V46" s="9">
        <v>60147</v>
      </c>
      <c r="W46" s="18"/>
      <c r="X46" s="9">
        <f>11209.89+13713.575</f>
        <v>24923.465</v>
      </c>
      <c r="Y46" s="18"/>
      <c r="Z46" s="9">
        <v>42332.166</v>
      </c>
      <c r="AA46" s="18"/>
      <c r="AB46" s="33"/>
      <c r="AC46" s="9">
        <v>1558797.939</v>
      </c>
      <c r="AD46" s="61">
        <v>346823.013</v>
      </c>
      <c r="AE46" s="61">
        <f t="shared" si="1"/>
        <v>1905620.952</v>
      </c>
      <c r="AF46" s="37"/>
      <c r="AG46" s="9">
        <v>400603.678</v>
      </c>
      <c r="AH46" s="162">
        <v>119379.1</v>
      </c>
      <c r="AI46" s="18"/>
      <c r="AJ46" s="9">
        <v>427178.222</v>
      </c>
      <c r="AK46" s="9">
        <v>14495.034</v>
      </c>
      <c r="AL46" s="162">
        <v>16117.921</v>
      </c>
      <c r="AM46" s="33"/>
      <c r="AN46" s="162">
        <v>25302.703</v>
      </c>
      <c r="AO46" s="18"/>
      <c r="AP46" s="9">
        <v>1874.497</v>
      </c>
      <c r="AQ46" s="18"/>
      <c r="AR46" s="37">
        <v>11254.18589682917</v>
      </c>
      <c r="AS46" s="37"/>
      <c r="AT46" s="9">
        <v>20925.941</v>
      </c>
      <c r="AU46" s="9"/>
      <c r="AV46" s="162">
        <v>3495.483</v>
      </c>
      <c r="AW46" s="9"/>
      <c r="AX46" s="162">
        <v>552.058</v>
      </c>
      <c r="AY46" s="37"/>
      <c r="AZ46" s="67">
        <v>1637.247</v>
      </c>
      <c r="BA46" s="37"/>
      <c r="BB46" s="9">
        <v>0</v>
      </c>
      <c r="BC46" s="37"/>
      <c r="BD46" s="9">
        <v>1026429</v>
      </c>
      <c r="BE46" s="37"/>
      <c r="BF46" s="9">
        <v>263399.365</v>
      </c>
      <c r="BG46" s="18"/>
      <c r="BH46" s="20">
        <v>80303.844</v>
      </c>
      <c r="BI46" s="33"/>
      <c r="BJ46" s="20">
        <v>65681</v>
      </c>
      <c r="BK46" s="33"/>
      <c r="BL46" s="9">
        <v>156805.6</v>
      </c>
      <c r="BM46" s="18"/>
      <c r="BN46" s="18">
        <v>6163</v>
      </c>
      <c r="BO46" s="18"/>
      <c r="BP46" s="9">
        <v>252793.062</v>
      </c>
      <c r="BQ46" s="18"/>
      <c r="BR46" s="20">
        <v>99684</v>
      </c>
      <c r="BS46" s="33"/>
      <c r="BT46" s="33">
        <v>23574.8</v>
      </c>
      <c r="BU46" s="33">
        <f>102508.4-BT46</f>
        <v>78933.59999999999</v>
      </c>
      <c r="BV46" s="33"/>
      <c r="BW46" s="9">
        <v>11943.732</v>
      </c>
      <c r="BX46" s="33"/>
      <c r="BY46" s="9">
        <v>3777.611</v>
      </c>
      <c r="BZ46" s="18"/>
      <c r="CA46" s="9">
        <v>1822.48</v>
      </c>
      <c r="CB46" s="18"/>
      <c r="CC46" s="9">
        <v>3635.848</v>
      </c>
      <c r="CD46" s="18"/>
      <c r="CE46" s="18">
        <v>11349.921</v>
      </c>
      <c r="CF46" s="18"/>
      <c r="CG46" s="61">
        <v>2872.047</v>
      </c>
      <c r="CH46" s="18"/>
      <c r="CI46" s="9">
        <v>212155.156</v>
      </c>
      <c r="CJ46" s="18"/>
      <c r="CK46" s="9">
        <v>46378.308</v>
      </c>
      <c r="CL46" s="9">
        <v>12434.921</v>
      </c>
      <c r="CM46" s="18"/>
      <c r="CN46" s="9">
        <v>95050.396</v>
      </c>
      <c r="CO46" s="18"/>
      <c r="CP46" s="9">
        <v>89983.651</v>
      </c>
      <c r="CQ46" s="9"/>
      <c r="CR46" s="9">
        <v>68591.454</v>
      </c>
      <c r="CS46" s="9"/>
      <c r="CT46" s="9">
        <v>3496.485</v>
      </c>
      <c r="CU46" s="18"/>
      <c r="CV46" s="9">
        <v>0</v>
      </c>
      <c r="CW46" s="18"/>
      <c r="CX46" s="9">
        <v>1323</v>
      </c>
      <c r="CY46" s="9">
        <v>1536.233</v>
      </c>
      <c r="CZ46" s="18"/>
      <c r="DA46" s="18">
        <v>1084.541</v>
      </c>
      <c r="DB46" s="18"/>
      <c r="DC46" s="9">
        <v>4942.096</v>
      </c>
      <c r="DD46" s="18"/>
      <c r="DE46" s="9">
        <v>45453.997</v>
      </c>
      <c r="DF46" s="18"/>
      <c r="DG46" s="75">
        <v>19521.393</v>
      </c>
      <c r="DH46" s="71"/>
      <c r="DI46" s="9">
        <v>15098.73</v>
      </c>
      <c r="DJ46" s="18"/>
      <c r="DK46" s="9">
        <v>1270.229</v>
      </c>
      <c r="DL46" s="18"/>
      <c r="DM46" s="9">
        <v>16545.744</v>
      </c>
      <c r="DN46" s="9">
        <v>40647.78</v>
      </c>
      <c r="DO46" s="18"/>
      <c r="DP46" s="9">
        <v>42482.006</v>
      </c>
      <c r="DQ46" s="18"/>
      <c r="DR46" s="61">
        <v>1200</v>
      </c>
      <c r="DS46" s="18"/>
      <c r="DT46" s="18">
        <v>359.2</v>
      </c>
      <c r="DU46" s="18"/>
      <c r="DV46" s="9">
        <v>17109</v>
      </c>
      <c r="DW46" s="18"/>
      <c r="DX46" s="109">
        <f t="shared" si="2"/>
        <v>10020964.525871102</v>
      </c>
      <c r="DY46" s="72"/>
      <c r="DZ46" s="54" t="s">
        <v>49</v>
      </c>
      <c r="EA46" s="37">
        <v>884800</v>
      </c>
      <c r="EB46" s="95">
        <v>779000</v>
      </c>
      <c r="EC46" s="61">
        <v>5645.658</v>
      </c>
      <c r="ED46" s="61">
        <v>5704.263</v>
      </c>
      <c r="EE46" s="33">
        <v>46432.83</v>
      </c>
      <c r="EF46" s="33">
        <v>326.336</v>
      </c>
      <c r="EG46" s="61">
        <v>400000</v>
      </c>
      <c r="EH46" s="61">
        <v>13797.833</v>
      </c>
      <c r="EI46" s="61">
        <v>0</v>
      </c>
      <c r="EJ46" s="61">
        <v>359749.653</v>
      </c>
      <c r="EK46" s="119">
        <v>21854</v>
      </c>
    </row>
    <row r="47" spans="1:141" ht="12.75" hidden="1">
      <c r="A47" s="55" t="s">
        <v>50</v>
      </c>
      <c r="B47" s="22">
        <v>192797.823</v>
      </c>
      <c r="C47" s="91">
        <v>253811.22960763934</v>
      </c>
      <c r="D47" s="89"/>
      <c r="E47" s="91">
        <v>3223.4857199999915</v>
      </c>
      <c r="F47" s="89"/>
      <c r="G47" s="91">
        <v>3191.8839039000013</v>
      </c>
      <c r="H47" s="89"/>
      <c r="I47" s="91">
        <v>4581.176470588235</v>
      </c>
      <c r="J47" s="33"/>
      <c r="K47" s="22">
        <v>5696.7</v>
      </c>
      <c r="L47" s="33"/>
      <c r="M47" s="22">
        <v>2391.7</v>
      </c>
      <c r="N47" s="33"/>
      <c r="O47" s="22">
        <v>1999.16</v>
      </c>
      <c r="P47" s="33"/>
      <c r="Q47" s="22">
        <v>806.923</v>
      </c>
      <c r="R47" s="18"/>
      <c r="S47" s="10">
        <v>325</v>
      </c>
      <c r="T47" s="10">
        <v>160</v>
      </c>
      <c r="U47" s="18"/>
      <c r="V47" s="11">
        <v>5224</v>
      </c>
      <c r="W47" s="18"/>
      <c r="X47" s="11">
        <f>1081.583+1142.761</f>
        <v>2224.344</v>
      </c>
      <c r="Y47" s="18"/>
      <c r="Z47" s="11">
        <v>5527.291</v>
      </c>
      <c r="AA47" s="18"/>
      <c r="AB47" s="33"/>
      <c r="AC47" s="11">
        <v>134912.142</v>
      </c>
      <c r="AD47" s="10">
        <v>30017.127</v>
      </c>
      <c r="AE47" s="10">
        <f t="shared" si="1"/>
        <v>164929.269</v>
      </c>
      <c r="AF47" s="37"/>
      <c r="AG47" s="11">
        <v>35834.427</v>
      </c>
      <c r="AH47" s="142">
        <v>10588.107</v>
      </c>
      <c r="AI47" s="18"/>
      <c r="AJ47" s="11">
        <v>43734.211</v>
      </c>
      <c r="AK47" s="11">
        <v>1734.233</v>
      </c>
      <c r="AL47" s="142">
        <v>2398.294</v>
      </c>
      <c r="AM47" s="33"/>
      <c r="AN47" s="142">
        <v>3209.375</v>
      </c>
      <c r="AO47" s="18"/>
      <c r="AP47" s="11">
        <v>175.966</v>
      </c>
      <c r="AQ47" s="18"/>
      <c r="AR47" s="10">
        <v>1635.698427965486</v>
      </c>
      <c r="AS47" s="37"/>
      <c r="AT47" s="11">
        <v>1734.86</v>
      </c>
      <c r="AU47" s="18"/>
      <c r="AV47" s="142">
        <v>350.357</v>
      </c>
      <c r="AW47" s="18"/>
      <c r="AX47" s="142">
        <v>242.913</v>
      </c>
      <c r="AY47" s="37"/>
      <c r="AZ47" s="73">
        <v>23.999</v>
      </c>
      <c r="BA47" s="37"/>
      <c r="BB47" s="11">
        <v>0</v>
      </c>
      <c r="BC47" s="37"/>
      <c r="BD47" s="11">
        <v>137096</v>
      </c>
      <c r="BE47" s="37"/>
      <c r="BF47" s="11">
        <v>29488.347</v>
      </c>
      <c r="BG47" s="18"/>
      <c r="BH47" s="22">
        <v>63.943</v>
      </c>
      <c r="BI47" s="33"/>
      <c r="BJ47" s="22">
        <v>19500</v>
      </c>
      <c r="BK47" s="33"/>
      <c r="BL47" s="11">
        <v>26580.4</v>
      </c>
      <c r="BM47" s="18"/>
      <c r="BN47" s="11">
        <v>944</v>
      </c>
      <c r="BO47" s="18"/>
      <c r="BP47" s="11">
        <v>20073.645</v>
      </c>
      <c r="BQ47" s="18"/>
      <c r="BR47" s="22">
        <v>23960</v>
      </c>
      <c r="BS47" s="33"/>
      <c r="BT47" s="22">
        <v>9593.5</v>
      </c>
      <c r="BU47" s="22">
        <f>14521.3-BT47</f>
        <v>4927.799999999999</v>
      </c>
      <c r="BV47" s="33"/>
      <c r="BW47" s="11">
        <v>1008.198</v>
      </c>
      <c r="BX47" s="33"/>
      <c r="BY47" s="11">
        <v>483.972</v>
      </c>
      <c r="BZ47" s="18"/>
      <c r="CA47" s="11">
        <v>181.054</v>
      </c>
      <c r="CB47" s="18"/>
      <c r="CC47" s="11">
        <v>361.204</v>
      </c>
      <c r="CD47" s="18"/>
      <c r="CE47" s="11">
        <v>947.138</v>
      </c>
      <c r="CF47" s="18"/>
      <c r="CG47" s="10">
        <v>268.131</v>
      </c>
      <c r="CH47" s="18"/>
      <c r="CI47" s="11">
        <v>18856.53</v>
      </c>
      <c r="CJ47" s="18"/>
      <c r="CK47" s="11">
        <v>3160.715</v>
      </c>
      <c r="CL47" s="11">
        <v>1399.061</v>
      </c>
      <c r="CM47" s="18"/>
      <c r="CN47" s="11">
        <v>11933.403</v>
      </c>
      <c r="CO47" s="18"/>
      <c r="CP47" s="11">
        <v>6977.808</v>
      </c>
      <c r="CQ47" s="18"/>
      <c r="CR47" s="11">
        <v>36561.674</v>
      </c>
      <c r="CS47" s="18"/>
      <c r="CT47" s="11">
        <v>0</v>
      </c>
      <c r="CU47" s="18"/>
      <c r="CV47" s="11">
        <v>200.188</v>
      </c>
      <c r="CW47" s="18"/>
      <c r="CX47" s="11">
        <v>569</v>
      </c>
      <c r="CY47" s="11">
        <v>185.862</v>
      </c>
      <c r="CZ47" s="18"/>
      <c r="DA47" s="11">
        <v>452.438</v>
      </c>
      <c r="DB47" s="18"/>
      <c r="DC47" s="11">
        <v>965.065</v>
      </c>
      <c r="DD47" s="18"/>
      <c r="DE47" s="11">
        <v>5721.268</v>
      </c>
      <c r="DF47" s="18"/>
      <c r="DG47" s="74">
        <v>1675.756</v>
      </c>
      <c r="DH47" s="71"/>
      <c r="DI47" s="11">
        <v>1497.925</v>
      </c>
      <c r="DJ47" s="18"/>
      <c r="DK47" s="11">
        <v>127.797</v>
      </c>
      <c r="DL47" s="18"/>
      <c r="DM47" s="11">
        <v>2106.542</v>
      </c>
      <c r="DN47" s="11">
        <v>5611.097</v>
      </c>
      <c r="DO47" s="18"/>
      <c r="DP47" s="11">
        <v>7945.909</v>
      </c>
      <c r="DQ47" s="18"/>
      <c r="DR47" s="10">
        <v>102</v>
      </c>
      <c r="DS47" s="18"/>
      <c r="DT47" s="11">
        <v>291.5</v>
      </c>
      <c r="DU47" s="18"/>
      <c r="DV47" s="11">
        <v>1204</v>
      </c>
      <c r="DW47" s="18"/>
      <c r="DX47" s="110">
        <f t="shared" si="2"/>
        <v>1131575.296130093</v>
      </c>
      <c r="DY47" s="72"/>
      <c r="DZ47" s="55" t="s">
        <v>50</v>
      </c>
      <c r="EA47" s="10">
        <v>98400</v>
      </c>
      <c r="EB47" s="103">
        <v>52000</v>
      </c>
      <c r="EC47" s="10">
        <v>471.124</v>
      </c>
      <c r="ED47" s="10">
        <v>476.014</v>
      </c>
      <c r="EE47" s="22">
        <v>11550</v>
      </c>
      <c r="EF47" s="22">
        <v>0</v>
      </c>
      <c r="EG47" s="10">
        <v>47164</v>
      </c>
      <c r="EH47" s="10">
        <v>1597.967</v>
      </c>
      <c r="EI47" s="10">
        <v>0</v>
      </c>
      <c r="EJ47" s="10">
        <v>47510.794</v>
      </c>
      <c r="EK47" s="183">
        <v>3641</v>
      </c>
    </row>
    <row r="48" spans="1:141" ht="12.75" hidden="1">
      <c r="A48" s="54" t="s">
        <v>51</v>
      </c>
      <c r="B48" s="33">
        <v>392315.333</v>
      </c>
      <c r="C48" s="89">
        <v>571863.4168021607</v>
      </c>
      <c r="D48" s="89"/>
      <c r="E48" s="89">
        <v>16241.408819999953</v>
      </c>
      <c r="F48" s="89"/>
      <c r="G48" s="90">
        <v>3731.191378712001</v>
      </c>
      <c r="H48" s="89"/>
      <c r="I48" s="90">
        <v>13355.294117647058</v>
      </c>
      <c r="J48" s="33"/>
      <c r="K48" s="20">
        <v>15361.365</v>
      </c>
      <c r="L48" s="33"/>
      <c r="M48" s="20">
        <v>0</v>
      </c>
      <c r="N48" s="33"/>
      <c r="O48" s="20">
        <v>5961.923</v>
      </c>
      <c r="P48" s="33"/>
      <c r="Q48" s="20">
        <v>2613.856</v>
      </c>
      <c r="R48" s="18"/>
      <c r="S48" s="61">
        <v>962.818</v>
      </c>
      <c r="T48" s="61">
        <v>474.003</v>
      </c>
      <c r="U48" s="18"/>
      <c r="V48" s="9">
        <v>36316</v>
      </c>
      <c r="W48" s="18"/>
      <c r="X48" s="9">
        <f>4053.252+4712.464</f>
        <v>8765.716</v>
      </c>
      <c r="Y48" s="18"/>
      <c r="Z48" s="9">
        <v>15363.401</v>
      </c>
      <c r="AA48" s="18"/>
      <c r="AB48" s="33"/>
      <c r="AC48" s="9">
        <v>567741.302</v>
      </c>
      <c r="AD48" s="61">
        <v>126318.97</v>
      </c>
      <c r="AE48" s="61">
        <f t="shared" si="1"/>
        <v>694060.272</v>
      </c>
      <c r="AF48" s="37"/>
      <c r="AG48" s="9">
        <v>142838.916</v>
      </c>
      <c r="AH48" s="162">
        <v>42992.997</v>
      </c>
      <c r="AI48" s="18"/>
      <c r="AJ48" s="9">
        <v>173239.745</v>
      </c>
      <c r="AK48" s="9">
        <v>7572.406</v>
      </c>
      <c r="AL48" s="162">
        <v>6744.328</v>
      </c>
      <c r="AM48" s="33"/>
      <c r="AN48" s="162">
        <v>9149.805</v>
      </c>
      <c r="AO48" s="18"/>
      <c r="AP48" s="9">
        <v>817.322</v>
      </c>
      <c r="AQ48" s="18"/>
      <c r="AR48" s="37">
        <v>2654.967346860462</v>
      </c>
      <c r="AS48" s="37"/>
      <c r="AT48" s="9">
        <v>9686.547</v>
      </c>
      <c r="AU48" s="9"/>
      <c r="AV48" s="162">
        <v>1239.229</v>
      </c>
      <c r="AW48" s="9"/>
      <c r="AX48" s="162">
        <v>242.913</v>
      </c>
      <c r="AY48" s="37"/>
      <c r="AZ48" s="67">
        <v>538.106</v>
      </c>
      <c r="BA48" s="37"/>
      <c r="BB48" s="9">
        <v>0</v>
      </c>
      <c r="BC48" s="37"/>
      <c r="BD48" s="9">
        <v>463081</v>
      </c>
      <c r="BE48" s="37"/>
      <c r="BF48" s="9">
        <v>41154.218</v>
      </c>
      <c r="BG48" s="18"/>
      <c r="BH48" s="20">
        <v>0</v>
      </c>
      <c r="BI48" s="33"/>
      <c r="BJ48" s="20">
        <v>19500</v>
      </c>
      <c r="BK48" s="33"/>
      <c r="BL48" s="9">
        <v>40553.7</v>
      </c>
      <c r="BM48" s="18"/>
      <c r="BN48" s="18">
        <v>3324</v>
      </c>
      <c r="BO48" s="18"/>
      <c r="BP48" s="9">
        <v>58892.771</v>
      </c>
      <c r="BQ48" s="18"/>
      <c r="BR48" s="20">
        <v>50550</v>
      </c>
      <c r="BS48" s="33"/>
      <c r="BT48" s="33">
        <v>9593.5</v>
      </c>
      <c r="BU48" s="33">
        <f>31449.2-BT48</f>
        <v>21855.7</v>
      </c>
      <c r="BV48" s="33"/>
      <c r="BW48" s="9">
        <v>4298.227</v>
      </c>
      <c r="BX48" s="33"/>
      <c r="BY48" s="9">
        <v>1649.96</v>
      </c>
      <c r="BZ48" s="18"/>
      <c r="CA48" s="9">
        <v>812.082</v>
      </c>
      <c r="CB48" s="18"/>
      <c r="CC48" s="9">
        <v>1620.102</v>
      </c>
      <c r="CD48" s="18"/>
      <c r="CE48" s="18">
        <v>5745.457</v>
      </c>
      <c r="CF48" s="18"/>
      <c r="CG48" s="61">
        <v>1836.195</v>
      </c>
      <c r="CH48" s="18"/>
      <c r="CI48" s="9">
        <v>35878.821</v>
      </c>
      <c r="CJ48" s="18"/>
      <c r="CK48" s="9">
        <v>4395.55</v>
      </c>
      <c r="CL48" s="9">
        <v>5922.241</v>
      </c>
      <c r="CM48" s="18"/>
      <c r="CN48" s="9">
        <v>25384.973</v>
      </c>
      <c r="CO48" s="18"/>
      <c r="CP48" s="9">
        <v>15788.759</v>
      </c>
      <c r="CQ48" s="9"/>
      <c r="CR48" s="9">
        <v>26296.346</v>
      </c>
      <c r="CS48" s="9"/>
      <c r="CT48" s="9">
        <v>3000</v>
      </c>
      <c r="CU48" s="18"/>
      <c r="CV48" s="9">
        <v>507.146</v>
      </c>
      <c r="CW48" s="18"/>
      <c r="CX48" s="9">
        <v>796</v>
      </c>
      <c r="CY48" s="9">
        <v>1153.023</v>
      </c>
      <c r="CZ48" s="18"/>
      <c r="DA48" s="18">
        <v>687.278</v>
      </c>
      <c r="DB48" s="18"/>
      <c r="DC48" s="9">
        <v>2159.535</v>
      </c>
      <c r="DD48" s="18"/>
      <c r="DE48" s="9">
        <v>23154.268</v>
      </c>
      <c r="DF48" s="18"/>
      <c r="DG48" s="70">
        <v>6961.392</v>
      </c>
      <c r="DH48" s="71"/>
      <c r="DI48" s="9">
        <v>5604.614</v>
      </c>
      <c r="DJ48" s="18"/>
      <c r="DK48" s="9">
        <v>323.366</v>
      </c>
      <c r="DL48" s="18"/>
      <c r="DM48" s="9">
        <v>10417.221</v>
      </c>
      <c r="DN48" s="9">
        <v>24712.293</v>
      </c>
      <c r="DO48" s="18"/>
      <c r="DP48" s="9">
        <v>24705.053</v>
      </c>
      <c r="DQ48" s="18"/>
      <c r="DR48" s="61">
        <v>304</v>
      </c>
      <c r="DS48" s="18"/>
      <c r="DT48" s="18">
        <v>311.5</v>
      </c>
      <c r="DU48" s="18"/>
      <c r="DV48" s="9">
        <v>0</v>
      </c>
      <c r="DW48" s="18"/>
      <c r="DX48" s="109">
        <f t="shared" si="2"/>
        <v>3118033.5704653813</v>
      </c>
      <c r="DY48" s="72"/>
      <c r="DZ48" s="54" t="s">
        <v>51</v>
      </c>
      <c r="EA48" s="37">
        <v>352600</v>
      </c>
      <c r="EB48" s="95">
        <v>383000</v>
      </c>
      <c r="EC48" s="61">
        <v>2857.895</v>
      </c>
      <c r="ED48" s="61">
        <v>2887.562</v>
      </c>
      <c r="EE48" s="33">
        <v>4454.652</v>
      </c>
      <c r="EF48" s="33">
        <v>256.5</v>
      </c>
      <c r="EG48" s="61">
        <v>106084</v>
      </c>
      <c r="EH48" s="61">
        <v>8051.297</v>
      </c>
      <c r="EI48" s="61">
        <v>0</v>
      </c>
      <c r="EJ48" s="61">
        <v>49983.912</v>
      </c>
      <c r="EK48" s="119">
        <v>18914</v>
      </c>
    </row>
    <row r="49" spans="1:141" ht="12.75" hidden="1">
      <c r="A49" s="54" t="s">
        <v>52</v>
      </c>
      <c r="B49" s="33">
        <v>48233.981</v>
      </c>
      <c r="C49" s="89">
        <v>73955.2827338824</v>
      </c>
      <c r="D49" s="89"/>
      <c r="E49" s="89">
        <v>270.48249999999825</v>
      </c>
      <c r="F49" s="89"/>
      <c r="G49" s="90">
        <v>1179.3773407710005</v>
      </c>
      <c r="H49" s="89"/>
      <c r="I49" s="90">
        <v>5940</v>
      </c>
      <c r="J49" s="33"/>
      <c r="K49" s="20">
        <v>3443.395</v>
      </c>
      <c r="L49" s="33"/>
      <c r="M49" s="20">
        <v>599.233</v>
      </c>
      <c r="N49" s="33"/>
      <c r="O49" s="20">
        <v>1353.892</v>
      </c>
      <c r="P49" s="33"/>
      <c r="Q49" s="20">
        <v>580.657</v>
      </c>
      <c r="R49" s="18"/>
      <c r="S49" s="61">
        <v>325</v>
      </c>
      <c r="T49" s="61">
        <v>160</v>
      </c>
      <c r="U49" s="18"/>
      <c r="V49" s="9">
        <v>5460</v>
      </c>
      <c r="W49" s="18"/>
      <c r="X49" s="9">
        <f>924.871+1136.95</f>
        <v>2061.821</v>
      </c>
      <c r="Y49" s="18"/>
      <c r="Z49" s="9">
        <v>4110.91</v>
      </c>
      <c r="AA49" s="18"/>
      <c r="AB49" s="33"/>
      <c r="AC49" s="9">
        <v>104292.688</v>
      </c>
      <c r="AD49" s="61">
        <v>23204.486</v>
      </c>
      <c r="AE49" s="61">
        <f t="shared" si="1"/>
        <v>127497.174</v>
      </c>
      <c r="AF49" s="37"/>
      <c r="AG49" s="9">
        <v>34650</v>
      </c>
      <c r="AH49" s="162">
        <v>9563.634</v>
      </c>
      <c r="AI49" s="18"/>
      <c r="AJ49" s="9">
        <v>31630.863</v>
      </c>
      <c r="AK49" s="9">
        <v>1520.277</v>
      </c>
      <c r="AL49" s="162">
        <v>2398.294</v>
      </c>
      <c r="AM49" s="33"/>
      <c r="AN49" s="162">
        <v>3209.375</v>
      </c>
      <c r="AO49" s="18"/>
      <c r="AP49" s="9">
        <v>175.966</v>
      </c>
      <c r="AQ49" s="18"/>
      <c r="AR49" s="37">
        <v>881.8871762531841</v>
      </c>
      <c r="AS49" s="37"/>
      <c r="AT49" s="9">
        <v>1800</v>
      </c>
      <c r="AU49" s="9"/>
      <c r="AV49" s="162">
        <v>350.357</v>
      </c>
      <c r="AW49" s="9"/>
      <c r="AX49" s="162">
        <v>242.913</v>
      </c>
      <c r="AY49" s="37"/>
      <c r="AZ49" s="67">
        <v>3.17</v>
      </c>
      <c r="BA49" s="37"/>
      <c r="BB49" s="9">
        <v>1655.113</v>
      </c>
      <c r="BC49" s="37"/>
      <c r="BD49" s="9">
        <v>183027</v>
      </c>
      <c r="BE49" s="37"/>
      <c r="BF49" s="9">
        <v>11289.100999999999</v>
      </c>
      <c r="BG49" s="18"/>
      <c r="BH49" s="20">
        <v>0</v>
      </c>
      <c r="BI49" s="33"/>
      <c r="BJ49" s="20">
        <v>19500</v>
      </c>
      <c r="BK49" s="33"/>
      <c r="BL49" s="9">
        <v>19433.4</v>
      </c>
      <c r="BM49" s="18"/>
      <c r="BN49" s="18">
        <v>1249</v>
      </c>
      <c r="BO49" s="18"/>
      <c r="BP49" s="9">
        <v>24487.296</v>
      </c>
      <c r="BQ49" s="18"/>
      <c r="BR49" s="20">
        <v>23709</v>
      </c>
      <c r="BS49" s="33"/>
      <c r="BT49" s="33">
        <v>9593.5</v>
      </c>
      <c r="BU49" s="33">
        <f>13167.5-BT49</f>
        <v>3574</v>
      </c>
      <c r="BV49" s="33"/>
      <c r="BW49" s="9">
        <v>771.599</v>
      </c>
      <c r="BX49" s="33"/>
      <c r="BY49" s="9">
        <v>146.748</v>
      </c>
      <c r="BZ49" s="18"/>
      <c r="CA49" s="9">
        <v>106.718</v>
      </c>
      <c r="CB49" s="18"/>
      <c r="CC49" s="9">
        <v>212.901</v>
      </c>
      <c r="CD49" s="18"/>
      <c r="CE49" s="18">
        <v>524.135</v>
      </c>
      <c r="CF49" s="18"/>
      <c r="CG49" s="61">
        <v>255.465</v>
      </c>
      <c r="CH49" s="18"/>
      <c r="CI49" s="9">
        <v>2745.166</v>
      </c>
      <c r="CJ49" s="18"/>
      <c r="CK49" s="9">
        <v>354.383</v>
      </c>
      <c r="CL49" s="9">
        <v>1771.675</v>
      </c>
      <c r="CM49" s="18"/>
      <c r="CN49" s="9">
        <v>5405.055</v>
      </c>
      <c r="CO49" s="18"/>
      <c r="CP49" s="9">
        <v>3254.06</v>
      </c>
      <c r="CQ49" s="9"/>
      <c r="CR49" s="9">
        <v>3734.909</v>
      </c>
      <c r="CS49" s="9"/>
      <c r="CT49" s="9">
        <v>0</v>
      </c>
      <c r="CU49" s="18"/>
      <c r="CV49" s="9">
        <v>12929.735</v>
      </c>
      <c r="CW49" s="18"/>
      <c r="CX49" s="9">
        <v>553</v>
      </c>
      <c r="CY49" s="9">
        <v>37.329</v>
      </c>
      <c r="CZ49" s="18"/>
      <c r="DA49" s="18">
        <v>444.133</v>
      </c>
      <c r="DB49" s="18"/>
      <c r="DC49" s="9">
        <v>857.968</v>
      </c>
      <c r="DD49" s="18"/>
      <c r="DE49" s="9">
        <v>3193.114</v>
      </c>
      <c r="DF49" s="18"/>
      <c r="DG49" s="70">
        <v>1260.545</v>
      </c>
      <c r="DH49" s="71"/>
      <c r="DI49" s="9">
        <v>2758.469</v>
      </c>
      <c r="DJ49" s="18"/>
      <c r="DK49" s="9">
        <v>164.588</v>
      </c>
      <c r="DL49" s="18"/>
      <c r="DM49" s="9">
        <v>1234.406</v>
      </c>
      <c r="DN49" s="9">
        <v>2918.025</v>
      </c>
      <c r="DO49" s="18"/>
      <c r="DP49" s="9">
        <v>953.834</v>
      </c>
      <c r="DQ49" s="18"/>
      <c r="DR49" s="61">
        <v>77</v>
      </c>
      <c r="DS49" s="18"/>
      <c r="DT49" s="18">
        <v>290</v>
      </c>
      <c r="DU49" s="18"/>
      <c r="DV49" s="9">
        <v>0</v>
      </c>
      <c r="DW49" s="18"/>
      <c r="DX49" s="109">
        <f t="shared" si="2"/>
        <v>706070.3117509069</v>
      </c>
      <c r="DY49" s="72"/>
      <c r="DZ49" s="54" t="s">
        <v>52</v>
      </c>
      <c r="EA49" s="37">
        <v>76900</v>
      </c>
      <c r="EB49" s="95">
        <v>42000</v>
      </c>
      <c r="EC49" s="61">
        <v>260.714</v>
      </c>
      <c r="ED49" s="61">
        <v>263.421</v>
      </c>
      <c r="EE49" s="33">
        <v>7503.657</v>
      </c>
      <c r="EF49" s="33">
        <v>1190</v>
      </c>
      <c r="EG49" s="61">
        <v>13140</v>
      </c>
      <c r="EH49" s="61">
        <v>271.523</v>
      </c>
      <c r="EI49" s="61">
        <v>5883</v>
      </c>
      <c r="EJ49" s="61">
        <v>10639.826</v>
      </c>
      <c r="EK49" s="119">
        <v>1105</v>
      </c>
    </row>
    <row r="50" spans="1:141" ht="12.75" hidden="1">
      <c r="A50" s="54" t="s">
        <v>53</v>
      </c>
      <c r="B50" s="33">
        <v>756840.057</v>
      </c>
      <c r="C50" s="89">
        <v>870030.5260148353</v>
      </c>
      <c r="D50" s="89"/>
      <c r="E50" s="89">
        <v>15463.50385499996</v>
      </c>
      <c r="F50" s="89"/>
      <c r="G50" s="90">
        <v>11577.550060800007</v>
      </c>
      <c r="H50" s="89"/>
      <c r="I50" s="90">
        <v>32013.88235294118</v>
      </c>
      <c r="J50" s="33"/>
      <c r="K50" s="20">
        <v>16701.81</v>
      </c>
      <c r="L50" s="33"/>
      <c r="M50" s="20">
        <v>2273.593</v>
      </c>
      <c r="N50" s="33"/>
      <c r="O50" s="20">
        <v>6529.736</v>
      </c>
      <c r="P50" s="33"/>
      <c r="Q50" s="20">
        <v>3540.952</v>
      </c>
      <c r="R50" s="18"/>
      <c r="S50" s="61">
        <v>1321.639</v>
      </c>
      <c r="T50" s="61">
        <v>650.653</v>
      </c>
      <c r="U50" s="18"/>
      <c r="V50" s="9">
        <v>41932</v>
      </c>
      <c r="W50" s="18"/>
      <c r="X50" s="9">
        <f>5863.067+6317.906</f>
        <v>12180.973</v>
      </c>
      <c r="Y50" s="18"/>
      <c r="Z50" s="9">
        <v>19697.805</v>
      </c>
      <c r="AA50" s="18"/>
      <c r="AB50" s="33"/>
      <c r="AC50" s="9">
        <v>775135.036</v>
      </c>
      <c r="AD50" s="61">
        <v>172462.807</v>
      </c>
      <c r="AE50" s="61">
        <f t="shared" si="1"/>
        <v>947597.843</v>
      </c>
      <c r="AF50" s="37"/>
      <c r="AG50" s="9">
        <v>194074.879</v>
      </c>
      <c r="AH50" s="162">
        <v>57347.607</v>
      </c>
      <c r="AI50" s="18"/>
      <c r="AJ50" s="9">
        <v>229613.418</v>
      </c>
      <c r="AK50" s="9">
        <v>7345.943</v>
      </c>
      <c r="AL50" s="162">
        <v>9204.937</v>
      </c>
      <c r="AM50" s="33"/>
      <c r="AN50" s="162">
        <v>12258.365</v>
      </c>
      <c r="AO50" s="18"/>
      <c r="AP50" s="9">
        <v>1011.156</v>
      </c>
      <c r="AQ50" s="18"/>
      <c r="AR50" s="37">
        <v>3490.4343728012745</v>
      </c>
      <c r="AS50" s="37"/>
      <c r="AT50" s="9">
        <v>12177.598</v>
      </c>
      <c r="AU50" s="9"/>
      <c r="AV50" s="162">
        <v>1730.963</v>
      </c>
      <c r="AW50" s="9"/>
      <c r="AX50" s="162">
        <v>273.379</v>
      </c>
      <c r="AY50" s="37"/>
      <c r="AZ50" s="67">
        <v>738.619</v>
      </c>
      <c r="BA50" s="37"/>
      <c r="BB50" s="9">
        <v>0</v>
      </c>
      <c r="BC50" s="37"/>
      <c r="BD50" s="9">
        <v>572701</v>
      </c>
      <c r="BE50" s="37"/>
      <c r="BF50" s="9">
        <v>71988.32400000001</v>
      </c>
      <c r="BG50" s="18"/>
      <c r="BH50" s="20">
        <v>28.04</v>
      </c>
      <c r="BI50" s="33"/>
      <c r="BJ50" s="20">
        <v>20238</v>
      </c>
      <c r="BK50" s="33"/>
      <c r="BL50" s="9">
        <v>57505.5</v>
      </c>
      <c r="BM50" s="18"/>
      <c r="BN50" s="18">
        <v>4681</v>
      </c>
      <c r="BO50" s="18"/>
      <c r="BP50" s="9">
        <v>99112.101</v>
      </c>
      <c r="BQ50" s="18"/>
      <c r="BR50" s="20">
        <v>62482</v>
      </c>
      <c r="BS50" s="33"/>
      <c r="BT50" s="33">
        <v>13818.2</v>
      </c>
      <c r="BU50" s="33">
        <f>42243.2-BT50</f>
        <v>28424.999999999996</v>
      </c>
      <c r="BV50" s="33"/>
      <c r="BW50" s="9">
        <v>5962.99</v>
      </c>
      <c r="BX50" s="33"/>
      <c r="BY50" s="9">
        <v>2126.353</v>
      </c>
      <c r="BZ50" s="18"/>
      <c r="CA50" s="9">
        <v>1145.936</v>
      </c>
      <c r="CB50" s="18"/>
      <c r="CC50" s="9">
        <v>2286.141</v>
      </c>
      <c r="CD50" s="18"/>
      <c r="CE50" s="18">
        <v>8975.295999999998</v>
      </c>
      <c r="CF50" s="18"/>
      <c r="CG50" s="61">
        <v>2275.738</v>
      </c>
      <c r="CH50" s="18"/>
      <c r="CI50" s="9">
        <v>80304.187</v>
      </c>
      <c r="CJ50" s="18"/>
      <c r="CK50" s="9">
        <v>6167.458</v>
      </c>
      <c r="CL50" s="9">
        <v>7095.627</v>
      </c>
      <c r="CM50" s="18"/>
      <c r="CN50" s="9">
        <v>39032.515</v>
      </c>
      <c r="CO50" s="18"/>
      <c r="CP50" s="9">
        <v>20294.861</v>
      </c>
      <c r="CQ50" s="9"/>
      <c r="CR50" s="9">
        <v>35909.71</v>
      </c>
      <c r="CS50" s="9"/>
      <c r="CT50" s="9">
        <v>0</v>
      </c>
      <c r="CU50" s="18"/>
      <c r="CV50" s="9">
        <v>0</v>
      </c>
      <c r="CW50" s="18"/>
      <c r="CX50" s="9">
        <v>911</v>
      </c>
      <c r="CY50" s="9">
        <v>1472.799</v>
      </c>
      <c r="CZ50" s="18"/>
      <c r="DA50" s="18">
        <v>748.51</v>
      </c>
      <c r="DB50" s="18"/>
      <c r="DC50" s="9">
        <v>2765.332</v>
      </c>
      <c r="DD50" s="18"/>
      <c r="DE50" s="9">
        <v>30827.729</v>
      </c>
      <c r="DF50" s="18"/>
      <c r="DG50" s="70">
        <v>10129.145</v>
      </c>
      <c r="DH50" s="71"/>
      <c r="DI50" s="9">
        <v>7414.473</v>
      </c>
      <c r="DJ50" s="18"/>
      <c r="DK50" s="9">
        <v>484.081</v>
      </c>
      <c r="DL50" s="18"/>
      <c r="DM50" s="9">
        <v>10835.862</v>
      </c>
      <c r="DN50" s="9">
        <v>25099.116</v>
      </c>
      <c r="DO50" s="18"/>
      <c r="DP50" s="9">
        <v>28372.248</v>
      </c>
      <c r="DQ50" s="18"/>
      <c r="DR50" s="61">
        <v>601</v>
      </c>
      <c r="DS50" s="18"/>
      <c r="DT50" s="18">
        <v>321.8</v>
      </c>
      <c r="DU50" s="18"/>
      <c r="DV50" s="9">
        <v>0</v>
      </c>
      <c r="DW50" s="18"/>
      <c r="DX50" s="109">
        <f t="shared" si="2"/>
        <v>4530158.893656377</v>
      </c>
      <c r="DY50" s="72"/>
      <c r="DZ50" s="54" t="s">
        <v>53</v>
      </c>
      <c r="EA50" s="37">
        <v>508400</v>
      </c>
      <c r="EB50" s="95">
        <v>608000</v>
      </c>
      <c r="EC50" s="61">
        <v>4464.476</v>
      </c>
      <c r="ED50" s="61">
        <v>4510.82</v>
      </c>
      <c r="EE50" s="33">
        <v>18593.038</v>
      </c>
      <c r="EF50" s="33">
        <v>832</v>
      </c>
      <c r="EG50" s="61">
        <v>153272</v>
      </c>
      <c r="EH50" s="61">
        <v>0</v>
      </c>
      <c r="EI50" s="61">
        <v>141808</v>
      </c>
      <c r="EJ50" s="61">
        <v>95761.899</v>
      </c>
      <c r="EK50" s="119">
        <v>11923</v>
      </c>
    </row>
    <row r="51" spans="1:141" ht="12.75" hidden="1">
      <c r="A51" s="54" t="s">
        <v>54</v>
      </c>
      <c r="B51" s="33">
        <v>2004788.818</v>
      </c>
      <c r="C51" s="89">
        <v>3506057.8458177145</v>
      </c>
      <c r="D51" s="89"/>
      <c r="E51" s="89">
        <v>47422.434149999914</v>
      </c>
      <c r="F51" s="89"/>
      <c r="G51" s="90">
        <v>51636.320620120045</v>
      </c>
      <c r="H51" s="89"/>
      <c r="I51" s="90">
        <v>160810.94117647057</v>
      </c>
      <c r="J51" s="33"/>
      <c r="K51" s="20">
        <v>44326.879</v>
      </c>
      <c r="L51" s="33"/>
      <c r="M51" s="20">
        <v>14414.728</v>
      </c>
      <c r="N51" s="33"/>
      <c r="O51" s="20">
        <v>20019.818</v>
      </c>
      <c r="P51" s="33"/>
      <c r="Q51" s="20">
        <v>14031.941</v>
      </c>
      <c r="R51" s="18"/>
      <c r="S51" s="61">
        <v>4012.217</v>
      </c>
      <c r="T51" s="61">
        <v>1975.245</v>
      </c>
      <c r="U51" s="18"/>
      <c r="V51" s="9">
        <v>214852</v>
      </c>
      <c r="W51" s="18"/>
      <c r="X51" s="9">
        <f>23518.598+26261.23</f>
        <v>49779.828</v>
      </c>
      <c r="Y51" s="18"/>
      <c r="Z51" s="9">
        <v>48148.071</v>
      </c>
      <c r="AA51" s="18"/>
      <c r="AB51" s="33"/>
      <c r="AC51" s="9">
        <v>3250272.133</v>
      </c>
      <c r="AD51" s="61">
        <v>723165.683</v>
      </c>
      <c r="AE51" s="61">
        <f t="shared" si="1"/>
        <v>3973437.8159999996</v>
      </c>
      <c r="AF51" s="37"/>
      <c r="AG51" s="9">
        <v>948737.78</v>
      </c>
      <c r="AH51" s="162">
        <v>285896.287</v>
      </c>
      <c r="AI51" s="18"/>
      <c r="AJ51" s="9">
        <v>945636.328</v>
      </c>
      <c r="AK51" s="9">
        <v>24328.422</v>
      </c>
      <c r="AL51" s="162">
        <v>44454.366</v>
      </c>
      <c r="AM51" s="33"/>
      <c r="AN51" s="162">
        <v>59515.765</v>
      </c>
      <c r="AO51" s="18"/>
      <c r="AP51" s="9">
        <v>5547.622</v>
      </c>
      <c r="AQ51" s="18"/>
      <c r="AR51" s="37">
        <v>10669.378828634455</v>
      </c>
      <c r="AS51" s="37"/>
      <c r="AT51" s="9">
        <v>44810.968</v>
      </c>
      <c r="AU51" s="9"/>
      <c r="AV51" s="162">
        <v>6720.724</v>
      </c>
      <c r="AW51" s="9"/>
      <c r="AX51" s="162">
        <v>1061.436</v>
      </c>
      <c r="AY51" s="37"/>
      <c r="AZ51" s="67">
        <v>2281.461</v>
      </c>
      <c r="BA51" s="37"/>
      <c r="BB51" s="9">
        <v>6760.548</v>
      </c>
      <c r="BC51" s="37"/>
      <c r="BD51" s="9">
        <v>2250015</v>
      </c>
      <c r="BE51" s="37"/>
      <c r="BF51" s="9">
        <v>371915.095</v>
      </c>
      <c r="BG51" s="18"/>
      <c r="BH51" s="20">
        <v>2609.607</v>
      </c>
      <c r="BI51" s="33"/>
      <c r="BJ51" s="20">
        <v>160656</v>
      </c>
      <c r="BK51" s="33"/>
      <c r="BL51" s="9">
        <v>180931.6</v>
      </c>
      <c r="BM51" s="18"/>
      <c r="BN51" s="18">
        <v>10779</v>
      </c>
      <c r="BO51" s="18"/>
      <c r="BP51" s="9">
        <v>326975.732</v>
      </c>
      <c r="BQ51" s="18"/>
      <c r="BR51" s="20">
        <v>218782</v>
      </c>
      <c r="BS51" s="33"/>
      <c r="BT51" s="33">
        <v>45638.1</v>
      </c>
      <c r="BU51" s="33">
        <f>208759.9-BT51</f>
        <v>163121.8</v>
      </c>
      <c r="BV51" s="33"/>
      <c r="BW51" s="9">
        <v>23340.967</v>
      </c>
      <c r="BX51" s="33"/>
      <c r="BY51" s="9">
        <v>6152.075</v>
      </c>
      <c r="BZ51" s="18"/>
      <c r="CA51" s="9">
        <v>4113.322</v>
      </c>
      <c r="CB51" s="18"/>
      <c r="CC51" s="9">
        <v>8206.08</v>
      </c>
      <c r="CD51" s="18"/>
      <c r="CE51" s="18">
        <v>27830.334000000003</v>
      </c>
      <c r="CF51" s="18"/>
      <c r="CG51" s="61">
        <v>11517.159</v>
      </c>
      <c r="CH51" s="18"/>
      <c r="CI51" s="9">
        <v>119789.53</v>
      </c>
      <c r="CJ51" s="18"/>
      <c r="CK51" s="9">
        <v>48323.306</v>
      </c>
      <c r="CL51" s="9">
        <v>19473.698</v>
      </c>
      <c r="CM51" s="18"/>
      <c r="CN51" s="9">
        <v>148354.769</v>
      </c>
      <c r="CO51" s="18"/>
      <c r="CP51" s="9">
        <v>103967.796</v>
      </c>
      <c r="CQ51" s="9"/>
      <c r="CR51" s="9">
        <v>72697.599</v>
      </c>
      <c r="CS51" s="9"/>
      <c r="CT51" s="9">
        <v>3871.327</v>
      </c>
      <c r="CU51" s="18"/>
      <c r="CV51" s="9">
        <v>623.944</v>
      </c>
      <c r="CW51" s="18"/>
      <c r="CX51" s="9">
        <v>2109</v>
      </c>
      <c r="CY51" s="9">
        <v>7771.484</v>
      </c>
      <c r="CZ51" s="18"/>
      <c r="DA51" s="18">
        <v>2255.666</v>
      </c>
      <c r="DB51" s="18"/>
      <c r="DC51" s="9">
        <v>9042.754</v>
      </c>
      <c r="DD51" s="18"/>
      <c r="DE51" s="9">
        <v>90295.773</v>
      </c>
      <c r="DF51" s="18"/>
      <c r="DG51" s="75">
        <v>39690.81</v>
      </c>
      <c r="DH51" s="71"/>
      <c r="DI51" s="9">
        <v>27188.088</v>
      </c>
      <c r="DJ51" s="18"/>
      <c r="DK51" s="9">
        <v>1316.701</v>
      </c>
      <c r="DL51" s="18"/>
      <c r="DM51" s="9">
        <v>34344.771</v>
      </c>
      <c r="DN51" s="9">
        <v>82000.708</v>
      </c>
      <c r="DO51" s="18"/>
      <c r="DP51" s="9">
        <v>53768.305</v>
      </c>
      <c r="DQ51" s="18"/>
      <c r="DR51" s="61">
        <v>2285</v>
      </c>
      <c r="DS51" s="18"/>
      <c r="DT51" s="18">
        <v>427.3</v>
      </c>
      <c r="DU51" s="18"/>
      <c r="DV51" s="9">
        <v>34720</v>
      </c>
      <c r="DW51" s="18"/>
      <c r="DX51" s="109">
        <f t="shared" si="2"/>
        <v>17259038.188592944</v>
      </c>
      <c r="DY51" s="72"/>
      <c r="DZ51" s="54" t="s">
        <v>54</v>
      </c>
      <c r="EA51" s="37">
        <v>1876000</v>
      </c>
      <c r="EB51" s="95">
        <v>1812000</v>
      </c>
      <c r="EC51" s="61">
        <v>13843.316</v>
      </c>
      <c r="ED51" s="61">
        <v>13987.018</v>
      </c>
      <c r="EE51" s="33">
        <v>43045.375</v>
      </c>
      <c r="EF51" s="33">
        <v>11300.828</v>
      </c>
      <c r="EG51" s="61">
        <v>500000</v>
      </c>
      <c r="EH51" s="61">
        <v>23508.557</v>
      </c>
      <c r="EI51" s="61">
        <v>0</v>
      </c>
      <c r="EJ51" s="61">
        <v>243128.376</v>
      </c>
      <c r="EK51" s="119">
        <v>17506</v>
      </c>
    </row>
    <row r="52" spans="1:141" ht="12.75" hidden="1">
      <c r="A52" s="55" t="s">
        <v>55</v>
      </c>
      <c r="B52" s="22">
        <v>127020.892</v>
      </c>
      <c r="C52" s="91">
        <v>205735.84283980157</v>
      </c>
      <c r="D52" s="89"/>
      <c r="E52" s="91">
        <v>480.44284999999945</v>
      </c>
      <c r="F52" s="89"/>
      <c r="G52" s="91">
        <v>2400.183202815002</v>
      </c>
      <c r="H52" s="89"/>
      <c r="I52" s="91">
        <v>13332</v>
      </c>
      <c r="J52" s="33"/>
      <c r="K52" s="22">
        <v>6444.03</v>
      </c>
      <c r="L52" s="33"/>
      <c r="M52" s="22">
        <v>0</v>
      </c>
      <c r="N52" s="33"/>
      <c r="O52" s="22">
        <v>2937.742</v>
      </c>
      <c r="P52" s="33"/>
      <c r="Q52" s="22">
        <v>2231.18</v>
      </c>
      <c r="R52" s="18"/>
      <c r="S52" s="10">
        <v>385.81</v>
      </c>
      <c r="T52" s="10">
        <v>189.937</v>
      </c>
      <c r="U52" s="18"/>
      <c r="V52" s="11">
        <v>22366</v>
      </c>
      <c r="W52" s="18"/>
      <c r="X52" s="11">
        <f>1855.325+2192.287</f>
        <v>4047.612</v>
      </c>
      <c r="Y52" s="18"/>
      <c r="Z52" s="11">
        <v>4886.2</v>
      </c>
      <c r="AA52" s="18"/>
      <c r="AB52" s="33"/>
      <c r="AC52" s="11">
        <v>392581.821</v>
      </c>
      <c r="AD52" s="10">
        <v>87347.055</v>
      </c>
      <c r="AE52" s="10">
        <f t="shared" si="1"/>
        <v>479928.876</v>
      </c>
      <c r="AF52" s="37"/>
      <c r="AG52" s="11">
        <v>49536.283</v>
      </c>
      <c r="AH52" s="142">
        <v>14771.686</v>
      </c>
      <c r="AI52" s="18"/>
      <c r="AJ52" s="11">
        <v>105540.856</v>
      </c>
      <c r="AK52" s="11">
        <v>3694.292</v>
      </c>
      <c r="AL52" s="142">
        <v>6247.589</v>
      </c>
      <c r="AM52" s="33"/>
      <c r="AN52" s="142">
        <v>3209.375</v>
      </c>
      <c r="AO52" s="18"/>
      <c r="AP52" s="11">
        <v>669.027</v>
      </c>
      <c r="AQ52" s="18"/>
      <c r="AR52" s="10">
        <v>1145.6489261745876</v>
      </c>
      <c r="AS52" s="37"/>
      <c r="AT52" s="11">
        <v>6006.642</v>
      </c>
      <c r="AU52" s="18"/>
      <c r="AV52" s="142">
        <v>462.976</v>
      </c>
      <c r="AW52" s="18"/>
      <c r="AX52" s="142">
        <v>242.913</v>
      </c>
      <c r="AY52" s="37"/>
      <c r="AZ52" s="73">
        <v>194.306</v>
      </c>
      <c r="BA52" s="37"/>
      <c r="BB52" s="11">
        <v>19.197</v>
      </c>
      <c r="BC52" s="37"/>
      <c r="BD52" s="11">
        <v>213546</v>
      </c>
      <c r="BE52" s="37"/>
      <c r="BF52" s="11">
        <v>58084.648</v>
      </c>
      <c r="BG52" s="18"/>
      <c r="BH52" s="22">
        <v>0</v>
      </c>
      <c r="BI52" s="33"/>
      <c r="BJ52" s="22">
        <v>19500</v>
      </c>
      <c r="BK52" s="33"/>
      <c r="BL52" s="11">
        <v>20858.6</v>
      </c>
      <c r="BM52" s="18"/>
      <c r="BN52" s="11">
        <v>1929</v>
      </c>
      <c r="BO52" s="18"/>
      <c r="BP52" s="11">
        <v>37897.203</v>
      </c>
      <c r="BQ52" s="18"/>
      <c r="BR52" s="22">
        <v>35362</v>
      </c>
      <c r="BS52" s="33"/>
      <c r="BT52" s="22">
        <v>9593.5</v>
      </c>
      <c r="BU52" s="22">
        <f>27777.6-BT52</f>
        <v>18184.1</v>
      </c>
      <c r="BV52" s="33"/>
      <c r="BW52" s="11">
        <v>2625.513</v>
      </c>
      <c r="BX52" s="33"/>
      <c r="BY52" s="11">
        <v>514.469</v>
      </c>
      <c r="BZ52" s="18"/>
      <c r="CA52" s="11">
        <v>296.128</v>
      </c>
      <c r="CB52" s="18"/>
      <c r="CC52" s="11">
        <v>590.774</v>
      </c>
      <c r="CD52" s="18"/>
      <c r="CE52" s="11">
        <v>1379.3020000000001</v>
      </c>
      <c r="CF52" s="18"/>
      <c r="CG52" s="10">
        <v>721.186</v>
      </c>
      <c r="CH52" s="18"/>
      <c r="CI52" s="11">
        <v>4122.802</v>
      </c>
      <c r="CJ52" s="18"/>
      <c r="CK52" s="11">
        <v>3719.295</v>
      </c>
      <c r="CL52" s="11">
        <v>1776.702</v>
      </c>
      <c r="CM52" s="18"/>
      <c r="CN52" s="11">
        <v>11639.074</v>
      </c>
      <c r="CO52" s="18"/>
      <c r="CP52" s="11">
        <v>8408.395</v>
      </c>
      <c r="CQ52" s="18"/>
      <c r="CR52" s="11">
        <v>4602.407</v>
      </c>
      <c r="CS52" s="18"/>
      <c r="CT52" s="11">
        <v>0</v>
      </c>
      <c r="CU52" s="18"/>
      <c r="CV52" s="11">
        <v>1446.478</v>
      </c>
      <c r="CW52" s="18"/>
      <c r="CX52" s="11">
        <v>681</v>
      </c>
      <c r="CY52" s="11">
        <v>671.4</v>
      </c>
      <c r="CZ52" s="18"/>
      <c r="DA52" s="11">
        <v>539.879</v>
      </c>
      <c r="DB52" s="18"/>
      <c r="DC52" s="11">
        <v>1544.099</v>
      </c>
      <c r="DD52" s="18"/>
      <c r="DE52" s="11">
        <v>9964.861</v>
      </c>
      <c r="DF52" s="18"/>
      <c r="DG52" s="74">
        <v>4356.943</v>
      </c>
      <c r="DH52" s="71"/>
      <c r="DI52" s="11">
        <v>4299.056</v>
      </c>
      <c r="DJ52" s="18"/>
      <c r="DK52" s="11">
        <v>158.779</v>
      </c>
      <c r="DL52" s="18"/>
      <c r="DM52" s="11">
        <v>1798.155</v>
      </c>
      <c r="DN52" s="11">
        <v>5067.154</v>
      </c>
      <c r="DO52" s="18"/>
      <c r="DP52" s="11">
        <v>3536.734</v>
      </c>
      <c r="DQ52" s="18"/>
      <c r="DR52" s="10">
        <v>193</v>
      </c>
      <c r="DS52" s="18"/>
      <c r="DT52" s="11">
        <v>301</v>
      </c>
      <c r="DU52" s="18"/>
      <c r="DV52" s="11">
        <v>13218</v>
      </c>
      <c r="DW52" s="18"/>
      <c r="DX52" s="110">
        <f t="shared" si="2"/>
        <v>1567255.1748187908</v>
      </c>
      <c r="DY52" s="72"/>
      <c r="DZ52" s="55" t="s">
        <v>55</v>
      </c>
      <c r="EA52" s="10">
        <v>267100</v>
      </c>
      <c r="EB52" s="103">
        <v>94000</v>
      </c>
      <c r="EC52" s="10">
        <v>686.09</v>
      </c>
      <c r="ED52" s="10">
        <v>693.212</v>
      </c>
      <c r="EE52" s="22">
        <v>4527.857</v>
      </c>
      <c r="EF52" s="22">
        <v>0</v>
      </c>
      <c r="EG52" s="10">
        <v>35877</v>
      </c>
      <c r="EH52" s="10">
        <v>482.291</v>
      </c>
      <c r="EI52" s="10">
        <v>0</v>
      </c>
      <c r="EJ52" s="10">
        <v>37804.738</v>
      </c>
      <c r="EK52" s="183">
        <v>4327</v>
      </c>
    </row>
    <row r="53" spans="1:141" ht="12.75" hidden="1">
      <c r="A53" s="54" t="s">
        <v>56</v>
      </c>
      <c r="B53" s="33">
        <v>104833.615</v>
      </c>
      <c r="C53" s="89">
        <v>164544.84944178752</v>
      </c>
      <c r="D53" s="89"/>
      <c r="E53" s="89">
        <v>1115.8219799999997</v>
      </c>
      <c r="F53" s="89"/>
      <c r="G53" s="90">
        <v>3605.6626599440033</v>
      </c>
      <c r="H53" s="89"/>
      <c r="I53" s="90">
        <v>3886.2352941176473</v>
      </c>
      <c r="J53" s="33"/>
      <c r="K53" s="20">
        <v>4894.435</v>
      </c>
      <c r="L53" s="33"/>
      <c r="M53" s="20">
        <v>1300</v>
      </c>
      <c r="N53" s="33"/>
      <c r="O53" s="20">
        <v>1540.601</v>
      </c>
      <c r="P53" s="33"/>
      <c r="Q53" s="20">
        <v>491.557</v>
      </c>
      <c r="R53" s="18"/>
      <c r="S53" s="61">
        <v>325</v>
      </c>
      <c r="T53" s="61">
        <v>160</v>
      </c>
      <c r="U53" s="18"/>
      <c r="V53" s="9">
        <v>2823</v>
      </c>
      <c r="W53" s="18"/>
      <c r="X53" s="9">
        <f>666.157+616.69</f>
        <v>1282.8470000000002</v>
      </c>
      <c r="Y53" s="18"/>
      <c r="Z53" s="9">
        <v>5000</v>
      </c>
      <c r="AA53" s="18"/>
      <c r="AB53" s="33"/>
      <c r="AC53" s="9">
        <v>77150.071</v>
      </c>
      <c r="AD53" s="61">
        <v>17165.419</v>
      </c>
      <c r="AE53" s="61">
        <f t="shared" si="1"/>
        <v>94315.48999999999</v>
      </c>
      <c r="AF53" s="37"/>
      <c r="AG53" s="9">
        <v>25765.406</v>
      </c>
      <c r="AH53" s="162">
        <v>7261.859</v>
      </c>
      <c r="AI53" s="18"/>
      <c r="AJ53" s="9">
        <v>25601.621</v>
      </c>
      <c r="AK53" s="9">
        <v>916.299</v>
      </c>
      <c r="AL53" s="162">
        <v>2398.294</v>
      </c>
      <c r="AM53" s="33"/>
      <c r="AN53" s="162">
        <v>3209.375</v>
      </c>
      <c r="AO53" s="18"/>
      <c r="AP53" s="9">
        <v>175.966</v>
      </c>
      <c r="AQ53" s="18"/>
      <c r="AR53" s="37">
        <v>1188.901854607828</v>
      </c>
      <c r="AS53" s="37"/>
      <c r="AT53" s="9">
        <v>1800</v>
      </c>
      <c r="AU53" s="9"/>
      <c r="AV53" s="162">
        <v>350.357</v>
      </c>
      <c r="AW53" s="9"/>
      <c r="AX53" s="162">
        <v>242.913</v>
      </c>
      <c r="AY53" s="37"/>
      <c r="AZ53" s="67">
        <v>3.17</v>
      </c>
      <c r="BA53" s="37"/>
      <c r="BB53" s="9">
        <v>0</v>
      </c>
      <c r="BC53" s="37"/>
      <c r="BD53" s="9">
        <v>125791</v>
      </c>
      <c r="BE53" s="37"/>
      <c r="BF53" s="9">
        <v>5680.572</v>
      </c>
      <c r="BG53" s="18"/>
      <c r="BH53" s="20">
        <v>0</v>
      </c>
      <c r="BI53" s="33"/>
      <c r="BJ53" s="20">
        <v>19500</v>
      </c>
      <c r="BK53" s="33"/>
      <c r="BL53" s="9">
        <v>19433.4</v>
      </c>
      <c r="BM53" s="18"/>
      <c r="BN53" s="18">
        <v>1015</v>
      </c>
      <c r="BO53" s="18"/>
      <c r="BP53" s="9">
        <v>16842.576</v>
      </c>
      <c r="BQ53" s="18"/>
      <c r="BR53" s="20">
        <v>21999</v>
      </c>
      <c r="BS53" s="33"/>
      <c r="BT53" s="33">
        <v>9593.5</v>
      </c>
      <c r="BU53" s="33">
        <f>10323.3-BT53</f>
        <v>729.7999999999993</v>
      </c>
      <c r="BV53" s="33"/>
      <c r="BW53" s="9">
        <v>596.089</v>
      </c>
      <c r="BX53" s="33"/>
      <c r="BY53" s="9">
        <v>189.957</v>
      </c>
      <c r="BZ53" s="18"/>
      <c r="CA53" s="9">
        <v>84.064</v>
      </c>
      <c r="CB53" s="18"/>
      <c r="CC53" s="9">
        <v>167.708</v>
      </c>
      <c r="CD53" s="18"/>
      <c r="CE53" s="18">
        <v>611.3040000000001</v>
      </c>
      <c r="CF53" s="18"/>
      <c r="CG53" s="61">
        <v>215.765</v>
      </c>
      <c r="CH53" s="18"/>
      <c r="CI53" s="9">
        <v>3375.76</v>
      </c>
      <c r="CJ53" s="18"/>
      <c r="CK53" s="9">
        <v>238.821</v>
      </c>
      <c r="CL53" s="9">
        <v>1981.527</v>
      </c>
      <c r="CM53" s="18"/>
      <c r="CN53" s="9">
        <v>5416.546</v>
      </c>
      <c r="CO53" s="18"/>
      <c r="CP53" s="9">
        <v>3398.824</v>
      </c>
      <c r="CQ53" s="9"/>
      <c r="CR53" s="9">
        <v>3423.608</v>
      </c>
      <c r="CS53" s="9"/>
      <c r="CT53" s="9">
        <v>0</v>
      </c>
      <c r="CU53" s="18"/>
      <c r="CV53" s="9">
        <v>0</v>
      </c>
      <c r="CW53" s="18"/>
      <c r="CX53" s="9">
        <v>541</v>
      </c>
      <c r="CY53" s="9">
        <v>57.951</v>
      </c>
      <c r="CZ53" s="18"/>
      <c r="DA53" s="18">
        <v>437.282</v>
      </c>
      <c r="DB53" s="18"/>
      <c r="DC53" s="9">
        <v>816.288</v>
      </c>
      <c r="DD53" s="18"/>
      <c r="DE53" s="9">
        <v>3061.782</v>
      </c>
      <c r="DF53" s="18"/>
      <c r="DG53" s="70">
        <v>994.136</v>
      </c>
      <c r="DH53" s="71"/>
      <c r="DI53" s="9">
        <v>1292.224</v>
      </c>
      <c r="DJ53" s="18"/>
      <c r="DK53" s="9">
        <v>131.67</v>
      </c>
      <c r="DL53" s="18"/>
      <c r="DM53" s="9">
        <v>1234.406</v>
      </c>
      <c r="DN53" s="9">
        <v>2918.025</v>
      </c>
      <c r="DO53" s="18"/>
      <c r="DP53" s="9">
        <v>1749.098</v>
      </c>
      <c r="DQ53" s="18"/>
      <c r="DR53" s="61">
        <v>60</v>
      </c>
      <c r="DS53" s="18"/>
      <c r="DT53" s="18">
        <v>290</v>
      </c>
      <c r="DU53" s="18"/>
      <c r="DV53" s="9">
        <v>0</v>
      </c>
      <c r="DW53" s="18"/>
      <c r="DX53" s="109">
        <f t="shared" si="2"/>
        <v>712901.9592304573</v>
      </c>
      <c r="DY53" s="72"/>
      <c r="DZ53" s="54" t="s">
        <v>56</v>
      </c>
      <c r="EA53" s="37">
        <v>39600</v>
      </c>
      <c r="EB53" s="95">
        <v>34000</v>
      </c>
      <c r="EC53" s="61">
        <v>304.074</v>
      </c>
      <c r="ED53" s="61">
        <v>307.23</v>
      </c>
      <c r="EE53" s="33">
        <v>8885.125</v>
      </c>
      <c r="EF53" s="33">
        <v>0</v>
      </c>
      <c r="EG53" s="61">
        <v>32980</v>
      </c>
      <c r="EH53" s="61">
        <v>553.143</v>
      </c>
      <c r="EI53" s="61">
        <v>4639</v>
      </c>
      <c r="EJ53" s="61">
        <v>23676.591</v>
      </c>
      <c r="EK53" s="119">
        <v>558</v>
      </c>
    </row>
    <row r="54" spans="1:141" ht="12.75" hidden="1">
      <c r="A54" s="54" t="s">
        <v>57</v>
      </c>
      <c r="B54" s="33">
        <v>573477.121</v>
      </c>
      <c r="C54" s="89">
        <v>920615.2293832385</v>
      </c>
      <c r="D54" s="89"/>
      <c r="E54" s="89">
        <v>4344.642562499988</v>
      </c>
      <c r="F54" s="89"/>
      <c r="G54" s="90">
        <v>13360.349217000006</v>
      </c>
      <c r="H54" s="89"/>
      <c r="I54" s="90">
        <v>40473.529411764706</v>
      </c>
      <c r="J54" s="33"/>
      <c r="K54" s="20">
        <v>13523.859</v>
      </c>
      <c r="L54" s="33"/>
      <c r="M54" s="20">
        <v>5763.749</v>
      </c>
      <c r="N54" s="33"/>
      <c r="O54" s="20">
        <v>5239.758</v>
      </c>
      <c r="P54" s="33"/>
      <c r="Q54" s="20">
        <v>5419.971</v>
      </c>
      <c r="R54" s="18"/>
      <c r="S54" s="61">
        <v>1531.658</v>
      </c>
      <c r="T54" s="61">
        <v>754.047</v>
      </c>
      <c r="U54" s="18"/>
      <c r="V54" s="9">
        <v>37892</v>
      </c>
      <c r="W54" s="18"/>
      <c r="X54" s="9">
        <f>4868.586+5306.96</f>
        <v>10175.546</v>
      </c>
      <c r="Y54" s="18"/>
      <c r="Z54" s="9">
        <v>16008.042</v>
      </c>
      <c r="AA54" s="18"/>
      <c r="AB54" s="33"/>
      <c r="AC54" s="9">
        <v>983865.903</v>
      </c>
      <c r="AD54" s="61">
        <v>218904.149</v>
      </c>
      <c r="AE54" s="61">
        <f t="shared" si="1"/>
        <v>1202770.0520000001</v>
      </c>
      <c r="AF54" s="37"/>
      <c r="AG54" s="9">
        <v>165352.019</v>
      </c>
      <c r="AH54" s="162">
        <v>50630.778</v>
      </c>
      <c r="AI54" s="18"/>
      <c r="AJ54" s="9">
        <v>281415.033</v>
      </c>
      <c r="AK54" s="9">
        <v>9470.492</v>
      </c>
      <c r="AL54" s="162">
        <v>11377.635</v>
      </c>
      <c r="AM54" s="33"/>
      <c r="AN54" s="162">
        <v>10783.251</v>
      </c>
      <c r="AO54" s="18"/>
      <c r="AP54" s="9">
        <v>1100.421</v>
      </c>
      <c r="AQ54" s="18"/>
      <c r="AR54" s="37">
        <v>3743.332908690992</v>
      </c>
      <c r="AS54" s="37"/>
      <c r="AT54" s="9">
        <v>11601.624</v>
      </c>
      <c r="AU54" s="9"/>
      <c r="AV54" s="162">
        <v>2168.257</v>
      </c>
      <c r="AW54" s="9"/>
      <c r="AX54" s="162">
        <v>342.443</v>
      </c>
      <c r="AY54" s="37"/>
      <c r="AZ54" s="67">
        <v>866.036</v>
      </c>
      <c r="BA54" s="37"/>
      <c r="BB54" s="9">
        <v>0</v>
      </c>
      <c r="BC54" s="37"/>
      <c r="BD54" s="9">
        <v>694461</v>
      </c>
      <c r="BE54" s="37"/>
      <c r="BF54" s="9">
        <v>111896.119</v>
      </c>
      <c r="BG54" s="18"/>
      <c r="BH54" s="20">
        <v>4209.386</v>
      </c>
      <c r="BI54" s="33"/>
      <c r="BJ54" s="20">
        <v>20761</v>
      </c>
      <c r="BK54" s="33"/>
      <c r="BL54" s="9">
        <v>81013.4</v>
      </c>
      <c r="BM54" s="18"/>
      <c r="BN54" s="18">
        <v>4647</v>
      </c>
      <c r="BO54" s="18"/>
      <c r="BP54" s="9">
        <v>94134.276</v>
      </c>
      <c r="BQ54" s="18"/>
      <c r="BR54" s="20">
        <v>70001</v>
      </c>
      <c r="BS54" s="33"/>
      <c r="BT54" s="33">
        <v>16145.3</v>
      </c>
      <c r="BU54" s="33">
        <f>60719.9-BT54</f>
        <v>44574.600000000006</v>
      </c>
      <c r="BV54" s="33"/>
      <c r="BW54" s="9">
        <v>7454.197</v>
      </c>
      <c r="BX54" s="33"/>
      <c r="BY54" s="9">
        <v>1886.821</v>
      </c>
      <c r="BZ54" s="18"/>
      <c r="CA54" s="9">
        <v>932.334</v>
      </c>
      <c r="CB54" s="18"/>
      <c r="CC54" s="9">
        <v>1860.006</v>
      </c>
      <c r="CD54" s="18"/>
      <c r="CE54" s="18">
        <v>5261.289000000001</v>
      </c>
      <c r="CF54" s="18"/>
      <c r="CG54" s="61">
        <v>1891.294</v>
      </c>
      <c r="CH54" s="18"/>
      <c r="CI54" s="9">
        <v>50954.217</v>
      </c>
      <c r="CJ54" s="18"/>
      <c r="CK54" s="9">
        <v>10966.59</v>
      </c>
      <c r="CL54" s="9">
        <v>5221.967</v>
      </c>
      <c r="CM54" s="18"/>
      <c r="CN54" s="9">
        <v>44247.749</v>
      </c>
      <c r="CO54" s="18"/>
      <c r="CP54" s="9">
        <v>24809.25</v>
      </c>
      <c r="CQ54" s="9"/>
      <c r="CR54" s="9">
        <v>33113.037</v>
      </c>
      <c r="CS54" s="9"/>
      <c r="CT54" s="9">
        <v>1406.633</v>
      </c>
      <c r="CU54" s="18"/>
      <c r="CV54" s="9">
        <v>0</v>
      </c>
      <c r="CW54" s="18"/>
      <c r="CX54" s="9">
        <v>1014</v>
      </c>
      <c r="CY54" s="9">
        <v>335.439</v>
      </c>
      <c r="CZ54" s="18"/>
      <c r="DA54" s="18">
        <v>1263.507</v>
      </c>
      <c r="DB54" s="18"/>
      <c r="DC54" s="9">
        <v>3305.8</v>
      </c>
      <c r="DD54" s="18"/>
      <c r="DE54" s="9">
        <v>24258.143</v>
      </c>
      <c r="DF54" s="18"/>
      <c r="DG54" s="70">
        <v>13460.932</v>
      </c>
      <c r="DH54" s="71"/>
      <c r="DI54" s="9">
        <v>8813.824</v>
      </c>
      <c r="DJ54" s="18"/>
      <c r="DK54" s="9">
        <v>515.062</v>
      </c>
      <c r="DL54" s="18"/>
      <c r="DM54" s="9">
        <v>5227.634</v>
      </c>
      <c r="DN54" s="9">
        <v>12982.612</v>
      </c>
      <c r="DO54" s="18"/>
      <c r="DP54" s="9">
        <v>14115.351</v>
      </c>
      <c r="DQ54" s="18"/>
      <c r="DR54" s="61">
        <v>526</v>
      </c>
      <c r="DS54" s="18"/>
      <c r="DT54" s="18">
        <v>331.1</v>
      </c>
      <c r="DU54" s="18"/>
      <c r="DV54" s="9">
        <v>372</v>
      </c>
      <c r="DW54" s="18"/>
      <c r="DX54" s="109">
        <f t="shared" si="2"/>
        <v>4818570.744483192</v>
      </c>
      <c r="DY54" s="72"/>
      <c r="DZ54" s="54" t="s">
        <v>57</v>
      </c>
      <c r="EA54" s="37">
        <v>454500</v>
      </c>
      <c r="EB54" s="95">
        <v>355000</v>
      </c>
      <c r="EC54" s="61">
        <v>2617.061</v>
      </c>
      <c r="ED54" s="61">
        <v>2644.228</v>
      </c>
      <c r="EE54" s="33">
        <v>15417.013</v>
      </c>
      <c r="EF54" s="33">
        <v>2448.883</v>
      </c>
      <c r="EG54" s="61">
        <v>174038</v>
      </c>
      <c r="EH54" s="61">
        <v>2153.754</v>
      </c>
      <c r="EI54" s="61">
        <v>62818</v>
      </c>
      <c r="EJ54" s="61">
        <v>79142.586</v>
      </c>
      <c r="EK54" s="119">
        <v>11561</v>
      </c>
    </row>
    <row r="55" spans="1:141" ht="12.75" hidden="1">
      <c r="A55" s="54" t="s">
        <v>58</v>
      </c>
      <c r="B55" s="33">
        <v>762590.717</v>
      </c>
      <c r="C55" s="89">
        <v>1237822.0911662467</v>
      </c>
      <c r="D55" s="89"/>
      <c r="E55" s="89">
        <v>9174.53627999999</v>
      </c>
      <c r="F55" s="89"/>
      <c r="G55" s="90">
        <v>16653.79817411402</v>
      </c>
      <c r="H55" s="89"/>
      <c r="I55" s="90">
        <v>49224.35294117647</v>
      </c>
      <c r="J55" s="33"/>
      <c r="K55" s="20">
        <v>26507.595</v>
      </c>
      <c r="L55" s="33"/>
      <c r="M55" s="20">
        <v>1300</v>
      </c>
      <c r="N55" s="33"/>
      <c r="O55" s="20">
        <v>10637.819</v>
      </c>
      <c r="P55" s="33"/>
      <c r="Q55" s="20">
        <v>3925.418</v>
      </c>
      <c r="R55" s="18"/>
      <c r="S55" s="61">
        <v>1286.686</v>
      </c>
      <c r="T55" s="61">
        <v>633.445</v>
      </c>
      <c r="U55" s="18"/>
      <c r="V55" s="9">
        <v>33351</v>
      </c>
      <c r="W55" s="18"/>
      <c r="X55" s="9">
        <f>4930.702+4531.426</f>
        <v>9462.128</v>
      </c>
      <c r="Y55" s="18"/>
      <c r="Z55" s="9">
        <v>11916.784</v>
      </c>
      <c r="AA55" s="18"/>
      <c r="AB55" s="33"/>
      <c r="AC55" s="9">
        <v>819946.848</v>
      </c>
      <c r="AD55" s="61">
        <v>182433.162</v>
      </c>
      <c r="AE55" s="61">
        <f t="shared" si="1"/>
        <v>1002380.01</v>
      </c>
      <c r="AF55" s="37"/>
      <c r="AG55" s="9">
        <v>135123.099</v>
      </c>
      <c r="AH55" s="162">
        <v>42476.886</v>
      </c>
      <c r="AI55" s="18"/>
      <c r="AJ55" s="9">
        <v>221357.461</v>
      </c>
      <c r="AK55" s="9">
        <v>8475.569</v>
      </c>
      <c r="AL55" s="162">
        <v>9570.687</v>
      </c>
      <c r="AM55" s="33"/>
      <c r="AN55" s="162">
        <v>8686.5</v>
      </c>
      <c r="AO55" s="18"/>
      <c r="AP55" s="9">
        <v>1298.061</v>
      </c>
      <c r="AQ55" s="18"/>
      <c r="AR55" s="37">
        <v>3279.5082080671577</v>
      </c>
      <c r="AS55" s="37"/>
      <c r="AT55" s="9">
        <v>10437.937</v>
      </c>
      <c r="AU55" s="9"/>
      <c r="AV55" s="162">
        <v>1818.6</v>
      </c>
      <c r="AW55" s="9"/>
      <c r="AX55" s="162">
        <v>287.22</v>
      </c>
      <c r="AY55" s="37"/>
      <c r="AZ55" s="67">
        <v>736.414</v>
      </c>
      <c r="BA55" s="37"/>
      <c r="BB55" s="9">
        <v>1477.424</v>
      </c>
      <c r="BC55" s="37"/>
      <c r="BD55" s="9">
        <v>492242</v>
      </c>
      <c r="BE55" s="37"/>
      <c r="BF55" s="9">
        <v>172347.32799999998</v>
      </c>
      <c r="BG55" s="18"/>
      <c r="BH55" s="20">
        <v>6699.276</v>
      </c>
      <c r="BI55" s="33"/>
      <c r="BJ55" s="20">
        <v>41806</v>
      </c>
      <c r="BK55" s="33"/>
      <c r="BL55" s="9">
        <v>68840.5</v>
      </c>
      <c r="BM55" s="18"/>
      <c r="BN55" s="18">
        <v>3427</v>
      </c>
      <c r="BO55" s="18"/>
      <c r="BP55" s="9">
        <v>59545.074</v>
      </c>
      <c r="BQ55" s="18"/>
      <c r="BR55" s="20">
        <v>60944</v>
      </c>
      <c r="BS55" s="33"/>
      <c r="BT55" s="33">
        <v>10645.9</v>
      </c>
      <c r="BU55" s="33">
        <f>56099.9-BT55</f>
        <v>45454</v>
      </c>
      <c r="BV55" s="33"/>
      <c r="BW55" s="9">
        <v>6283.775</v>
      </c>
      <c r="BX55" s="33"/>
      <c r="BY55" s="9">
        <v>2109.207</v>
      </c>
      <c r="BZ55" s="18"/>
      <c r="CA55" s="9">
        <v>967.132</v>
      </c>
      <c r="CB55" s="18"/>
      <c r="CC55" s="9">
        <v>1929.428</v>
      </c>
      <c r="CD55" s="18"/>
      <c r="CE55" s="18">
        <v>6884.253000000001</v>
      </c>
      <c r="CF55" s="18"/>
      <c r="CG55" s="61">
        <v>1588.047</v>
      </c>
      <c r="CH55" s="18"/>
      <c r="CI55" s="9">
        <v>40250.758</v>
      </c>
      <c r="CJ55" s="18"/>
      <c r="CK55" s="9">
        <v>12183.264</v>
      </c>
      <c r="CL55" s="9">
        <v>4123.767</v>
      </c>
      <c r="CM55" s="18"/>
      <c r="CN55" s="9">
        <v>43010.192</v>
      </c>
      <c r="CO55" s="18"/>
      <c r="CP55" s="9">
        <v>24948.653</v>
      </c>
      <c r="CQ55" s="9"/>
      <c r="CR55" s="9">
        <v>22494.74</v>
      </c>
      <c r="CS55" s="9"/>
      <c r="CT55" s="9">
        <v>6725</v>
      </c>
      <c r="CU55" s="18"/>
      <c r="CV55" s="9">
        <v>14863.301</v>
      </c>
      <c r="CW55" s="18"/>
      <c r="CX55" s="9">
        <v>933</v>
      </c>
      <c r="CY55" s="9">
        <v>938.446</v>
      </c>
      <c r="CZ55" s="18"/>
      <c r="DA55" s="18">
        <v>848.038</v>
      </c>
      <c r="DB55" s="18"/>
      <c r="DC55" s="9">
        <v>2852.125</v>
      </c>
      <c r="DD55" s="18"/>
      <c r="DE55" s="9">
        <v>22401.901</v>
      </c>
      <c r="DF55" s="18"/>
      <c r="DG55" s="70">
        <v>10470.988</v>
      </c>
      <c r="DH55" s="71"/>
      <c r="DI55" s="9">
        <v>8230.745</v>
      </c>
      <c r="DJ55" s="18"/>
      <c r="DK55" s="9">
        <v>350.475</v>
      </c>
      <c r="DL55" s="18"/>
      <c r="DM55" s="9">
        <v>9694.268</v>
      </c>
      <c r="DN55" s="9">
        <v>23445.432</v>
      </c>
      <c r="DO55" s="18"/>
      <c r="DP55" s="9">
        <v>22142.01</v>
      </c>
      <c r="DQ55" s="18"/>
      <c r="DR55" s="61">
        <v>701</v>
      </c>
      <c r="DS55" s="18"/>
      <c r="DT55" s="18">
        <v>323.7</v>
      </c>
      <c r="DU55" s="18"/>
      <c r="DV55" s="9">
        <v>0</v>
      </c>
      <c r="DW55" s="18"/>
      <c r="DX55" s="109">
        <f t="shared" si="2"/>
        <v>4875536.469769605</v>
      </c>
      <c r="DY55" s="72"/>
      <c r="DZ55" s="54" t="s">
        <v>58</v>
      </c>
      <c r="EA55" s="37">
        <v>372300</v>
      </c>
      <c r="EB55" s="95">
        <v>392000</v>
      </c>
      <c r="EC55" s="61">
        <v>3424.353</v>
      </c>
      <c r="ED55" s="61">
        <v>3459.9</v>
      </c>
      <c r="EE55" s="33">
        <v>22932.883</v>
      </c>
      <c r="EF55" s="33">
        <v>135.219</v>
      </c>
      <c r="EG55" s="61">
        <v>246806</v>
      </c>
      <c r="EH55" s="61">
        <v>4548.061</v>
      </c>
      <c r="EI55" s="61">
        <v>48865</v>
      </c>
      <c r="EJ55" s="61">
        <v>190477.249</v>
      </c>
      <c r="EK55" s="119">
        <v>6465</v>
      </c>
    </row>
    <row r="56" spans="1:141" ht="12.75" hidden="1">
      <c r="A56" s="54" t="s">
        <v>59</v>
      </c>
      <c r="B56" s="33">
        <v>180556.596</v>
      </c>
      <c r="C56" s="89">
        <v>280938.8297133283</v>
      </c>
      <c r="D56" s="89"/>
      <c r="E56" s="89">
        <v>3347.4659399999878</v>
      </c>
      <c r="F56" s="89"/>
      <c r="G56" s="90">
        <v>7824.977014469998</v>
      </c>
      <c r="H56" s="89"/>
      <c r="I56" s="90">
        <v>15424.588235294117</v>
      </c>
      <c r="J56" s="33"/>
      <c r="K56" s="20">
        <v>18776.925</v>
      </c>
      <c r="L56" s="33"/>
      <c r="M56" s="20">
        <v>1150.532</v>
      </c>
      <c r="N56" s="33"/>
      <c r="O56" s="20">
        <v>6672.135</v>
      </c>
      <c r="P56" s="33"/>
      <c r="Q56" s="20">
        <v>1081.814</v>
      </c>
      <c r="R56" s="18"/>
      <c r="S56" s="61">
        <v>455.732</v>
      </c>
      <c r="T56" s="61">
        <v>224.36</v>
      </c>
      <c r="U56" s="18"/>
      <c r="V56" s="9">
        <v>13047</v>
      </c>
      <c r="W56" s="18"/>
      <c r="X56" s="9">
        <f>2488.048+2940.03</f>
        <v>5428.0779999999995</v>
      </c>
      <c r="Y56" s="18"/>
      <c r="Z56" s="9">
        <v>11193.235</v>
      </c>
      <c r="AA56" s="18"/>
      <c r="AB56" s="33"/>
      <c r="AC56" s="9">
        <v>217970.97</v>
      </c>
      <c r="AD56" s="61">
        <v>48497.209</v>
      </c>
      <c r="AE56" s="61">
        <f t="shared" si="1"/>
        <v>266468.179</v>
      </c>
      <c r="AF56" s="37"/>
      <c r="AG56" s="9">
        <v>60981.29</v>
      </c>
      <c r="AH56" s="162">
        <v>18530.707</v>
      </c>
      <c r="AI56" s="18"/>
      <c r="AJ56" s="9">
        <v>75951.991</v>
      </c>
      <c r="AK56" s="9">
        <v>3614.632</v>
      </c>
      <c r="AL56" s="162">
        <v>2398.294</v>
      </c>
      <c r="AM56" s="33"/>
      <c r="AN56" s="162">
        <v>3950.012</v>
      </c>
      <c r="AO56" s="18"/>
      <c r="AP56" s="9">
        <v>340.343</v>
      </c>
      <c r="AQ56" s="18"/>
      <c r="AR56" s="37">
        <v>1265.9815287416</v>
      </c>
      <c r="AS56" s="37"/>
      <c r="AT56" s="9">
        <v>4312.919</v>
      </c>
      <c r="AU56" s="9"/>
      <c r="AV56" s="162">
        <v>272.34</v>
      </c>
      <c r="AW56" s="9"/>
      <c r="AX56" s="162">
        <v>242.913</v>
      </c>
      <c r="AY56" s="37"/>
      <c r="AZ56" s="67">
        <v>252.612</v>
      </c>
      <c r="BA56" s="37"/>
      <c r="BB56" s="9">
        <v>0</v>
      </c>
      <c r="BC56" s="37"/>
      <c r="BD56" s="9">
        <v>210852</v>
      </c>
      <c r="BE56" s="37"/>
      <c r="BF56" s="9">
        <v>18366.136</v>
      </c>
      <c r="BG56" s="18"/>
      <c r="BH56" s="20">
        <v>309.339</v>
      </c>
      <c r="BI56" s="33"/>
      <c r="BJ56" s="20">
        <v>19500</v>
      </c>
      <c r="BK56" s="33"/>
      <c r="BL56" s="9">
        <v>61709.2</v>
      </c>
      <c r="BM56" s="18"/>
      <c r="BN56" s="18">
        <v>1643</v>
      </c>
      <c r="BO56" s="18"/>
      <c r="BP56" s="9">
        <v>37583.874</v>
      </c>
      <c r="BQ56" s="18"/>
      <c r="BR56" s="20">
        <v>32746</v>
      </c>
      <c r="BS56" s="33"/>
      <c r="BT56" s="18">
        <v>9593.5</v>
      </c>
      <c r="BU56" s="18">
        <f>14003.8-BT56</f>
        <v>4410.299999999999</v>
      </c>
      <c r="BV56" s="33"/>
      <c r="BW56" s="9">
        <v>1740.925</v>
      </c>
      <c r="BX56" s="33"/>
      <c r="BY56" s="9">
        <v>400.899</v>
      </c>
      <c r="BZ56" s="18"/>
      <c r="CA56" s="9">
        <v>321.664</v>
      </c>
      <c r="CB56" s="18"/>
      <c r="CC56" s="9">
        <v>641.721</v>
      </c>
      <c r="CD56" s="18"/>
      <c r="CE56" s="18">
        <v>2458.832</v>
      </c>
      <c r="CF56" s="18"/>
      <c r="CG56" s="61">
        <v>649.8</v>
      </c>
      <c r="CH56" s="18"/>
      <c r="CI56" s="9">
        <v>13205.947</v>
      </c>
      <c r="CJ56" s="18"/>
      <c r="CK56" s="9">
        <v>2148.812</v>
      </c>
      <c r="CL56" s="9">
        <v>4515.124</v>
      </c>
      <c r="CM56" s="18"/>
      <c r="CN56" s="9">
        <v>16541.848</v>
      </c>
      <c r="CO56" s="18"/>
      <c r="CP56" s="9">
        <v>10198.601</v>
      </c>
      <c r="CQ56" s="9"/>
      <c r="CR56" s="9">
        <v>12257.518</v>
      </c>
      <c r="CS56" s="9"/>
      <c r="CT56" s="9">
        <v>0</v>
      </c>
      <c r="CU56" s="18"/>
      <c r="CV56" s="9">
        <v>0</v>
      </c>
      <c r="CW56" s="18"/>
      <c r="CX56" s="9">
        <v>620</v>
      </c>
      <c r="CY56" s="9">
        <v>348.23</v>
      </c>
      <c r="CZ56" s="18"/>
      <c r="DA56" s="18">
        <v>485.386</v>
      </c>
      <c r="DB56" s="18"/>
      <c r="DC56" s="9">
        <v>1232.72</v>
      </c>
      <c r="DD56" s="18"/>
      <c r="DE56" s="9">
        <v>8192.846</v>
      </c>
      <c r="DF56" s="18"/>
      <c r="DG56" s="75">
        <v>2369.759</v>
      </c>
      <c r="DH56" s="71"/>
      <c r="DI56" s="9">
        <v>3157.34</v>
      </c>
      <c r="DJ56" s="18"/>
      <c r="DK56" s="9">
        <v>267.213</v>
      </c>
      <c r="DL56" s="18"/>
      <c r="DM56" s="9">
        <v>2410.113</v>
      </c>
      <c r="DN56" s="9">
        <v>5343.318</v>
      </c>
      <c r="DO56" s="18"/>
      <c r="DP56" s="9">
        <v>3579.605</v>
      </c>
      <c r="DQ56" s="18"/>
      <c r="DR56" s="61">
        <v>175</v>
      </c>
      <c r="DS56" s="18"/>
      <c r="DT56" s="18">
        <v>296</v>
      </c>
      <c r="DU56" s="18"/>
      <c r="DV56" s="9">
        <v>0</v>
      </c>
      <c r="DW56" s="18"/>
      <c r="DX56" s="109">
        <f t="shared" si="2"/>
        <v>1474977.0514318335</v>
      </c>
      <c r="DY56" s="72"/>
      <c r="DZ56" s="54" t="s">
        <v>59</v>
      </c>
      <c r="EA56" s="37">
        <v>184000</v>
      </c>
      <c r="EB56" s="95">
        <v>187000</v>
      </c>
      <c r="EC56" s="61">
        <v>1223.068</v>
      </c>
      <c r="ED56" s="61">
        <v>1235.764</v>
      </c>
      <c r="EE56" s="33">
        <v>20184.773</v>
      </c>
      <c r="EF56" s="33">
        <v>71.522</v>
      </c>
      <c r="EG56" s="61">
        <v>55041</v>
      </c>
      <c r="EH56" s="61">
        <v>1659.428</v>
      </c>
      <c r="EI56" s="61">
        <v>11059</v>
      </c>
      <c r="EJ56" s="61">
        <v>55088.155</v>
      </c>
      <c r="EK56" s="119">
        <v>5228</v>
      </c>
    </row>
    <row r="57" spans="1:141" ht="12.75" hidden="1">
      <c r="A57" s="55" t="s">
        <v>60</v>
      </c>
      <c r="B57" s="22">
        <v>555256.663</v>
      </c>
      <c r="C57" s="91">
        <v>807335.1144891824</v>
      </c>
      <c r="D57" s="89"/>
      <c r="E57" s="91">
        <v>2315.1012249999912</v>
      </c>
      <c r="F57" s="89"/>
      <c r="G57" s="91">
        <v>15029.76611199999</v>
      </c>
      <c r="H57" s="89"/>
      <c r="I57" s="91">
        <v>52862.11764705882</v>
      </c>
      <c r="J57" s="33"/>
      <c r="K57" s="22">
        <v>10867.945</v>
      </c>
      <c r="L57" s="33"/>
      <c r="M57" s="22">
        <v>0</v>
      </c>
      <c r="N57" s="33"/>
      <c r="O57" s="22">
        <v>3915.538</v>
      </c>
      <c r="P57" s="33"/>
      <c r="Q57" s="22">
        <v>3905.943</v>
      </c>
      <c r="R57" s="18"/>
      <c r="S57" s="10">
        <v>1194.329</v>
      </c>
      <c r="T57" s="10">
        <v>587.978</v>
      </c>
      <c r="U57" s="18"/>
      <c r="V57" s="11">
        <v>30493</v>
      </c>
      <c r="W57" s="18"/>
      <c r="X57" s="11">
        <f>4464.745+5242.867</f>
        <v>9707.612000000001</v>
      </c>
      <c r="Y57" s="18"/>
      <c r="Z57" s="11">
        <v>12165.73</v>
      </c>
      <c r="AA57" s="18"/>
      <c r="AB57" s="33"/>
      <c r="AC57" s="11">
        <v>717336.999</v>
      </c>
      <c r="AD57" s="10">
        <v>159603.097</v>
      </c>
      <c r="AE57" s="10">
        <f t="shared" si="1"/>
        <v>876940.0959999999</v>
      </c>
      <c r="AF57" s="37"/>
      <c r="AG57" s="11">
        <v>147729.443</v>
      </c>
      <c r="AH57" s="142">
        <v>42906.207</v>
      </c>
      <c r="AI57" s="18"/>
      <c r="AJ57" s="11">
        <v>208200.108</v>
      </c>
      <c r="AK57" s="11">
        <v>9827.791</v>
      </c>
      <c r="AL57" s="142">
        <v>8022.42</v>
      </c>
      <c r="AM57" s="33"/>
      <c r="AN57" s="142">
        <v>9146.384</v>
      </c>
      <c r="AO57" s="18"/>
      <c r="AP57" s="11">
        <v>904.29</v>
      </c>
      <c r="AQ57" s="18"/>
      <c r="AR57" s="10">
        <v>3694.2731008009014</v>
      </c>
      <c r="AS57" s="37"/>
      <c r="AT57" s="11">
        <v>10000.997</v>
      </c>
      <c r="AU57" s="18"/>
      <c r="AV57" s="142">
        <v>1574.903</v>
      </c>
      <c r="AW57" s="18"/>
      <c r="AX57" s="142">
        <v>248.731</v>
      </c>
      <c r="AY57" s="37"/>
      <c r="AZ57" s="73">
        <v>667.231</v>
      </c>
      <c r="BA57" s="37"/>
      <c r="BB57" s="11">
        <v>415.012</v>
      </c>
      <c r="BC57" s="37"/>
      <c r="BD57" s="11">
        <v>529112</v>
      </c>
      <c r="BE57" s="37"/>
      <c r="BF57" s="11">
        <v>81397.594</v>
      </c>
      <c r="BG57" s="18"/>
      <c r="BH57" s="22">
        <v>243.232</v>
      </c>
      <c r="BI57" s="33"/>
      <c r="BJ57" s="22">
        <v>37750</v>
      </c>
      <c r="BK57" s="33"/>
      <c r="BL57" s="11">
        <v>107018.5</v>
      </c>
      <c r="BM57" s="18"/>
      <c r="BN57" s="11">
        <v>6381</v>
      </c>
      <c r="BO57" s="18"/>
      <c r="BP57" s="11">
        <v>141502.133</v>
      </c>
      <c r="BQ57" s="18"/>
      <c r="BR57" s="22">
        <v>55488</v>
      </c>
      <c r="BS57" s="33"/>
      <c r="BT57" s="22">
        <v>11743</v>
      </c>
      <c r="BU57" s="22">
        <f>37157.7-BT57</f>
        <v>25414.699999999997</v>
      </c>
      <c r="BV57" s="33"/>
      <c r="BW57" s="11">
        <v>5399.857</v>
      </c>
      <c r="BX57" s="33"/>
      <c r="BY57" s="11">
        <v>1662.288</v>
      </c>
      <c r="BZ57" s="18"/>
      <c r="CA57" s="11">
        <v>810.592</v>
      </c>
      <c r="CB57" s="18"/>
      <c r="CC57" s="11">
        <v>1617.13</v>
      </c>
      <c r="CD57" s="18"/>
      <c r="CE57" s="11">
        <v>4650.067</v>
      </c>
      <c r="CF57" s="18"/>
      <c r="CG57" s="10">
        <v>1316.711</v>
      </c>
      <c r="CH57" s="18"/>
      <c r="CI57" s="11">
        <v>26005.084</v>
      </c>
      <c r="CJ57" s="18"/>
      <c r="CK57" s="11">
        <v>10066.931</v>
      </c>
      <c r="CL57" s="11">
        <v>7533.775</v>
      </c>
      <c r="CM57" s="18"/>
      <c r="CN57" s="11">
        <v>35594.904</v>
      </c>
      <c r="CO57" s="18"/>
      <c r="CP57" s="11">
        <v>26935.856</v>
      </c>
      <c r="CQ57" s="18"/>
      <c r="CR57" s="11">
        <v>18839.526</v>
      </c>
      <c r="CS57" s="18"/>
      <c r="CT57" s="11">
        <v>6723.482</v>
      </c>
      <c r="CU57" s="18"/>
      <c r="CV57" s="11">
        <v>8111.538</v>
      </c>
      <c r="CW57" s="18"/>
      <c r="CX57" s="11">
        <v>872</v>
      </c>
      <c r="CY57" s="11">
        <v>264.175</v>
      </c>
      <c r="CZ57" s="18"/>
      <c r="DA57" s="11">
        <v>735.622</v>
      </c>
      <c r="DB57" s="18"/>
      <c r="DC57" s="11">
        <v>2548.507</v>
      </c>
      <c r="DD57" s="18"/>
      <c r="DE57" s="11">
        <v>18843.606</v>
      </c>
      <c r="DF57" s="18"/>
      <c r="DG57" s="74">
        <v>9566.72</v>
      </c>
      <c r="DH57" s="71"/>
      <c r="DI57" s="11">
        <v>7291.549</v>
      </c>
      <c r="DJ57" s="18"/>
      <c r="DK57" s="11">
        <v>608.006</v>
      </c>
      <c r="DL57" s="18"/>
      <c r="DM57" s="11">
        <v>5183.854</v>
      </c>
      <c r="DN57" s="11">
        <v>13808.812</v>
      </c>
      <c r="DO57" s="18"/>
      <c r="DP57" s="11">
        <v>16059.607</v>
      </c>
      <c r="DQ57" s="18"/>
      <c r="DR57" s="10">
        <v>573</v>
      </c>
      <c r="DS57" s="18"/>
      <c r="DT57" s="11">
        <v>318.5</v>
      </c>
      <c r="DU57" s="18"/>
      <c r="DV57" s="11">
        <v>6666</v>
      </c>
      <c r="DW57" s="18"/>
      <c r="DX57" s="110">
        <f t="shared" si="2"/>
        <v>4060572.5815740405</v>
      </c>
      <c r="DY57" s="72"/>
      <c r="DZ57" s="55" t="s">
        <v>60</v>
      </c>
      <c r="EA57" s="10">
        <v>315300</v>
      </c>
      <c r="EB57" s="103">
        <v>246000</v>
      </c>
      <c r="EC57" s="10">
        <v>2313.028</v>
      </c>
      <c r="ED57" s="10">
        <v>2337.039</v>
      </c>
      <c r="EE57" s="22">
        <v>17925.024</v>
      </c>
      <c r="EF57" s="22">
        <v>980.913</v>
      </c>
      <c r="EG57" s="10">
        <v>153003</v>
      </c>
      <c r="EH57" s="10">
        <v>2324.005</v>
      </c>
      <c r="EI57" s="10">
        <v>133934</v>
      </c>
      <c r="EJ57" s="10">
        <v>157249.677</v>
      </c>
      <c r="EK57" s="183">
        <v>14851</v>
      </c>
    </row>
    <row r="58" spans="1:141" ht="12.75" hidden="1">
      <c r="A58" s="56" t="s">
        <v>61</v>
      </c>
      <c r="B58" s="33">
        <v>35024.086</v>
      </c>
      <c r="C58" s="89">
        <v>82386.99414860457</v>
      </c>
      <c r="D58" s="89"/>
      <c r="E58" s="89">
        <v>5.542774999999978</v>
      </c>
      <c r="F58" s="89"/>
      <c r="G58" s="90">
        <v>319.5083634000001</v>
      </c>
      <c r="H58" s="89"/>
      <c r="I58" s="90">
        <v>4658.823529411765</v>
      </c>
      <c r="J58" s="33"/>
      <c r="K58" s="20">
        <v>1922.344</v>
      </c>
      <c r="L58" s="33"/>
      <c r="M58" s="20">
        <v>0</v>
      </c>
      <c r="N58" s="33"/>
      <c r="O58" s="20">
        <v>764.943</v>
      </c>
      <c r="P58" s="33"/>
      <c r="Q58" s="20">
        <v>409.026</v>
      </c>
      <c r="R58" s="18"/>
      <c r="S58" s="37">
        <v>325</v>
      </c>
      <c r="T58" s="37">
        <v>160</v>
      </c>
      <c r="U58" s="18"/>
      <c r="V58" s="9">
        <v>2587</v>
      </c>
      <c r="W58" s="18"/>
      <c r="X58" s="9">
        <f>607.791+750.565</f>
        <v>1358.3560000000002</v>
      </c>
      <c r="Y58" s="18"/>
      <c r="Z58" s="9">
        <v>5000</v>
      </c>
      <c r="AA58" s="18"/>
      <c r="AB58" s="33"/>
      <c r="AC58" s="9">
        <v>67620.197</v>
      </c>
      <c r="AD58" s="37">
        <v>15045.08</v>
      </c>
      <c r="AE58" s="37">
        <f t="shared" si="1"/>
        <v>82665.277</v>
      </c>
      <c r="AF58" s="37"/>
      <c r="AG58" s="9">
        <v>26191.647</v>
      </c>
      <c r="AH58" s="162">
        <v>7319.601</v>
      </c>
      <c r="AI58" s="18"/>
      <c r="AJ58" s="9">
        <v>25786.496</v>
      </c>
      <c r="AK58" s="9">
        <v>1125.474</v>
      </c>
      <c r="AL58" s="162">
        <v>2398.294</v>
      </c>
      <c r="AM58" s="33"/>
      <c r="AN58" s="162">
        <v>3209.375</v>
      </c>
      <c r="AO58" s="18"/>
      <c r="AP58" s="9">
        <v>175.966</v>
      </c>
      <c r="AQ58" s="18"/>
      <c r="AR58" s="37">
        <v>293.5809654065622</v>
      </c>
      <c r="AS58" s="37"/>
      <c r="AT58" s="9">
        <v>1800</v>
      </c>
      <c r="AU58" s="9"/>
      <c r="AV58" s="162">
        <v>350.357</v>
      </c>
      <c r="AW58" s="9"/>
      <c r="AX58" s="162">
        <v>242.913</v>
      </c>
      <c r="AY58" s="37"/>
      <c r="AZ58" s="33">
        <v>3.17</v>
      </c>
      <c r="BA58" s="37"/>
      <c r="BB58" s="9">
        <v>405.711</v>
      </c>
      <c r="BC58" s="37"/>
      <c r="BD58" s="9">
        <v>157616</v>
      </c>
      <c r="BE58" s="37"/>
      <c r="BF58" s="9">
        <v>9300.398</v>
      </c>
      <c r="BG58" s="18"/>
      <c r="BH58" s="20">
        <v>0</v>
      </c>
      <c r="BI58" s="33"/>
      <c r="BJ58" s="20">
        <v>19500</v>
      </c>
      <c r="BK58" s="33"/>
      <c r="BL58" s="9">
        <v>19433.4</v>
      </c>
      <c r="BM58" s="18"/>
      <c r="BN58" s="18">
        <v>929</v>
      </c>
      <c r="BO58" s="18"/>
      <c r="BP58" s="9">
        <v>10239.261</v>
      </c>
      <c r="BQ58" s="18"/>
      <c r="BR58" s="20">
        <v>24941</v>
      </c>
      <c r="BS58" s="33"/>
      <c r="BT58" s="33">
        <v>9593.5</v>
      </c>
      <c r="BU58" s="33">
        <f>12019.8-BT58</f>
        <v>2426.2999999999993</v>
      </c>
      <c r="BV58" s="33"/>
      <c r="BW58" s="9">
        <v>511.078</v>
      </c>
      <c r="BX58" s="33"/>
      <c r="BY58" s="9">
        <v>98.471</v>
      </c>
      <c r="BZ58" s="18"/>
      <c r="CA58" s="9">
        <v>54.796</v>
      </c>
      <c r="CB58" s="18"/>
      <c r="CC58" s="9">
        <v>109.316</v>
      </c>
      <c r="CD58" s="18"/>
      <c r="CE58" s="18">
        <v>179.135</v>
      </c>
      <c r="CF58" s="18"/>
      <c r="CG58" s="37">
        <v>215.764</v>
      </c>
      <c r="CH58" s="18"/>
      <c r="CI58" s="9">
        <v>1354.971</v>
      </c>
      <c r="CJ58" s="18"/>
      <c r="CK58" s="9">
        <v>264.708</v>
      </c>
      <c r="CL58" s="9">
        <v>857.718</v>
      </c>
      <c r="CM58" s="18"/>
      <c r="CN58" s="9">
        <v>4846.908</v>
      </c>
      <c r="CO58" s="18"/>
      <c r="CP58" s="9">
        <v>1718.313</v>
      </c>
      <c r="CQ58" s="9"/>
      <c r="CR58" s="9">
        <v>2588.385</v>
      </c>
      <c r="CS58" s="9"/>
      <c r="CT58" s="9">
        <v>0</v>
      </c>
      <c r="CU58" s="18"/>
      <c r="CV58" s="9">
        <v>1451.681</v>
      </c>
      <c r="CW58" s="18"/>
      <c r="CX58" s="9">
        <v>535</v>
      </c>
      <c r="CY58" s="9">
        <v>168.894</v>
      </c>
      <c r="CZ58" s="18"/>
      <c r="DA58" s="18">
        <v>424.573</v>
      </c>
      <c r="DB58" s="18"/>
      <c r="DC58" s="9">
        <v>781.663</v>
      </c>
      <c r="DD58" s="18"/>
      <c r="DE58" s="9">
        <v>3108.953</v>
      </c>
      <c r="DF58" s="18"/>
      <c r="DG58" s="75">
        <v>1017.509</v>
      </c>
      <c r="DH58" s="71"/>
      <c r="DI58" s="9">
        <v>2140.154</v>
      </c>
      <c r="DJ58" s="18"/>
      <c r="DK58" s="9">
        <v>126.306</v>
      </c>
      <c r="DL58" s="18"/>
      <c r="DM58" s="9">
        <v>1234.406</v>
      </c>
      <c r="DN58" s="9">
        <v>2918.025</v>
      </c>
      <c r="DO58" s="18"/>
      <c r="DP58" s="9">
        <v>583.791</v>
      </c>
      <c r="DQ58" s="18"/>
      <c r="DR58" s="37">
        <v>51</v>
      </c>
      <c r="DS58" s="18"/>
      <c r="DT58" s="18">
        <v>290</v>
      </c>
      <c r="DU58" s="18"/>
      <c r="DV58" s="9">
        <v>0</v>
      </c>
      <c r="DW58" s="18"/>
      <c r="DX58" s="109">
        <f t="shared" si="2"/>
        <v>568499.8627818228</v>
      </c>
      <c r="DY58" s="72"/>
      <c r="DZ58" s="56" t="s">
        <v>61</v>
      </c>
      <c r="EA58" s="37">
        <v>35500</v>
      </c>
      <c r="EB58" s="95">
        <v>17000</v>
      </c>
      <c r="EC58" s="37">
        <v>89.105</v>
      </c>
      <c r="ED58" s="37">
        <v>90.03</v>
      </c>
      <c r="EE58" s="33">
        <v>8890</v>
      </c>
      <c r="EF58" s="33">
        <v>0</v>
      </c>
      <c r="EG58" s="37">
        <v>12743</v>
      </c>
      <c r="EH58" s="37">
        <v>5.564</v>
      </c>
      <c r="EI58" s="37">
        <v>0</v>
      </c>
      <c r="EJ58" s="37">
        <v>9250.265</v>
      </c>
      <c r="EK58" s="120">
        <v>0</v>
      </c>
    </row>
    <row r="59" spans="1:141" ht="12.75" hidden="1">
      <c r="A59" s="54" t="s">
        <v>62</v>
      </c>
      <c r="B59" s="33">
        <v>81720</v>
      </c>
      <c r="C59" s="89">
        <v>117249.13249999999</v>
      </c>
      <c r="D59" s="89"/>
      <c r="E59" s="89">
        <v>0</v>
      </c>
      <c r="F59" s="89"/>
      <c r="G59" s="90">
        <v>0</v>
      </c>
      <c r="H59" s="89"/>
      <c r="I59" s="90">
        <v>12974.823529411764</v>
      </c>
      <c r="J59" s="33"/>
      <c r="K59" s="20">
        <v>16976.165</v>
      </c>
      <c r="L59" s="33"/>
      <c r="M59" s="20">
        <v>2600</v>
      </c>
      <c r="N59" s="33"/>
      <c r="O59" s="20">
        <v>4949.628</v>
      </c>
      <c r="P59" s="33"/>
      <c r="Q59" s="20">
        <v>2295.501</v>
      </c>
      <c r="R59" s="18"/>
      <c r="S59" s="61">
        <v>865.37</v>
      </c>
      <c r="T59" s="61">
        <v>426.028</v>
      </c>
      <c r="U59" s="18"/>
      <c r="V59" s="9">
        <v>33417.556</v>
      </c>
      <c r="W59" s="18"/>
      <c r="X59" s="9">
        <f>12248.717+14229.97</f>
        <v>26478.686999999998</v>
      </c>
      <c r="Y59" s="18"/>
      <c r="Z59" s="9">
        <v>42122.412</v>
      </c>
      <c r="AA59" s="18"/>
      <c r="AB59" s="33"/>
      <c r="AC59" s="9">
        <v>529741.859</v>
      </c>
      <c r="AD59" s="61">
        <v>117864.326</v>
      </c>
      <c r="AE59" s="61">
        <f t="shared" si="1"/>
        <v>647606.185</v>
      </c>
      <c r="AF59" s="37"/>
      <c r="AG59" s="9">
        <v>386407.681</v>
      </c>
      <c r="AH59" s="9">
        <v>112421</v>
      </c>
      <c r="AI59" s="18"/>
      <c r="AJ59" s="9">
        <v>109098.472</v>
      </c>
      <c r="AK59" s="9">
        <v>3336.115</v>
      </c>
      <c r="AL59" s="9">
        <v>5015</v>
      </c>
      <c r="AM59" s="33"/>
      <c r="AN59" s="9">
        <v>24076</v>
      </c>
      <c r="AO59" s="18"/>
      <c r="AP59" s="9">
        <v>1470.714</v>
      </c>
      <c r="AQ59" s="18"/>
      <c r="AR59" s="37">
        <v>3614.1257606190447</v>
      </c>
      <c r="AS59" s="37"/>
      <c r="AT59" s="9">
        <v>12596.832</v>
      </c>
      <c r="AU59" s="9"/>
      <c r="AV59" s="18">
        <v>1095</v>
      </c>
      <c r="AW59" s="9"/>
      <c r="AX59" s="193">
        <v>242.913</v>
      </c>
      <c r="AY59" s="37"/>
      <c r="AZ59" s="33">
        <v>469.91</v>
      </c>
      <c r="BA59" s="37"/>
      <c r="BB59" s="9">
        <v>0</v>
      </c>
      <c r="BC59" s="37"/>
      <c r="BD59" s="9">
        <v>105000</v>
      </c>
      <c r="BE59" s="37"/>
      <c r="BF59" s="9">
        <v>68295.183</v>
      </c>
      <c r="BG59" s="18"/>
      <c r="BH59" s="20">
        <v>675.314</v>
      </c>
      <c r="BI59" s="33"/>
      <c r="BJ59" s="20">
        <v>19500</v>
      </c>
      <c r="BK59" s="33"/>
      <c r="BL59" s="9">
        <v>51630.5</v>
      </c>
      <c r="BM59" s="18"/>
      <c r="BN59" s="18">
        <v>1030</v>
      </c>
      <c r="BO59" s="18"/>
      <c r="BP59" s="20">
        <v>48865.588</v>
      </c>
      <c r="BQ59" s="18"/>
      <c r="BR59" s="20">
        <v>37086</v>
      </c>
      <c r="BS59" s="33"/>
      <c r="BT59" s="33">
        <v>9593.5</v>
      </c>
      <c r="BU59" s="33">
        <f>33977-BT59</f>
        <v>24383.5</v>
      </c>
      <c r="BV59" s="33"/>
      <c r="BW59" s="9">
        <v>3793.774</v>
      </c>
      <c r="BX59" s="33"/>
      <c r="BY59" s="9">
        <v>1418.112</v>
      </c>
      <c r="BZ59" s="18"/>
      <c r="CA59" s="9">
        <v>1703.648</v>
      </c>
      <c r="CB59" s="18"/>
      <c r="CC59" s="9">
        <v>3398.779</v>
      </c>
      <c r="CD59" s="18"/>
      <c r="CE59" s="25">
        <v>0</v>
      </c>
      <c r="CF59" s="25"/>
      <c r="CG59" s="61">
        <v>1532.183</v>
      </c>
      <c r="CH59" s="18"/>
      <c r="CI59" s="9">
        <v>174579.333</v>
      </c>
      <c r="CJ59" s="18"/>
      <c r="CK59" s="9">
        <v>16661.034</v>
      </c>
      <c r="CL59" s="9">
        <v>12753.068</v>
      </c>
      <c r="CM59" s="18"/>
      <c r="CN59" s="9">
        <v>42646.082</v>
      </c>
      <c r="CO59" s="18"/>
      <c r="CP59" s="9">
        <v>45002.388</v>
      </c>
      <c r="CQ59" s="9"/>
      <c r="CR59" s="9">
        <v>20561.53</v>
      </c>
      <c r="CS59" s="9"/>
      <c r="CT59" s="9">
        <v>0</v>
      </c>
      <c r="CU59" s="18"/>
      <c r="CV59" s="9">
        <v>0</v>
      </c>
      <c r="CW59" s="18"/>
      <c r="CX59" s="9">
        <v>204</v>
      </c>
      <c r="CY59" s="9">
        <v>0</v>
      </c>
      <c r="CZ59" s="18"/>
      <c r="DA59" s="18">
        <v>0</v>
      </c>
      <c r="DB59" s="18"/>
      <c r="DC59" s="9">
        <v>1978.993</v>
      </c>
      <c r="DD59" s="18"/>
      <c r="DE59" s="9">
        <v>21686.612</v>
      </c>
      <c r="DF59" s="18"/>
      <c r="DG59" s="70">
        <v>2946.268</v>
      </c>
      <c r="DH59" s="71"/>
      <c r="DI59" s="9">
        <v>4645.634</v>
      </c>
      <c r="DJ59" s="18"/>
      <c r="DK59" s="9">
        <v>325.303</v>
      </c>
      <c r="DL59" s="18"/>
      <c r="DM59" s="9">
        <v>20128.708</v>
      </c>
      <c r="DN59" s="9">
        <v>42456.987</v>
      </c>
      <c r="DO59" s="18"/>
      <c r="DP59" s="9">
        <v>29524.346</v>
      </c>
      <c r="DQ59" s="18"/>
      <c r="DR59" s="143">
        <v>0</v>
      </c>
      <c r="DS59" s="18"/>
      <c r="DT59" s="18">
        <v>308.7</v>
      </c>
      <c r="DU59" s="18"/>
      <c r="DV59" s="9">
        <v>0</v>
      </c>
      <c r="DW59" s="18"/>
      <c r="DX59" s="109">
        <f t="shared" si="2"/>
        <v>2463840.3177900324</v>
      </c>
      <c r="DY59" s="72"/>
      <c r="DZ59" s="54" t="s">
        <v>62</v>
      </c>
      <c r="EA59" s="37">
        <v>1048700</v>
      </c>
      <c r="EB59" s="95">
        <v>579000</v>
      </c>
      <c r="EC59" s="61">
        <v>0</v>
      </c>
      <c r="ED59" s="61">
        <v>0</v>
      </c>
      <c r="EE59" s="33">
        <v>7878.675</v>
      </c>
      <c r="EF59" s="33">
        <v>197.25</v>
      </c>
      <c r="EG59" s="61">
        <v>0</v>
      </c>
      <c r="EH59" s="61">
        <v>0</v>
      </c>
      <c r="EI59" s="61">
        <v>0</v>
      </c>
      <c r="EJ59" s="143">
        <v>35781.251</v>
      </c>
      <c r="EK59" s="143">
        <v>926</v>
      </c>
    </row>
    <row r="60" spans="1:141" ht="12.75" hidden="1">
      <c r="A60" s="13" t="s">
        <v>63</v>
      </c>
      <c r="B60" s="33">
        <v>2706</v>
      </c>
      <c r="C60" s="89">
        <v>3466.45125</v>
      </c>
      <c r="D60" s="89"/>
      <c r="E60" s="89">
        <v>0</v>
      </c>
      <c r="F60" s="89"/>
      <c r="G60" s="90">
        <v>0</v>
      </c>
      <c r="H60" s="89"/>
      <c r="I60" s="90" t="s">
        <v>122</v>
      </c>
      <c r="J60" s="33"/>
      <c r="K60" s="20">
        <v>0</v>
      </c>
      <c r="L60" s="33"/>
      <c r="M60" s="20">
        <v>1300</v>
      </c>
      <c r="N60" s="33"/>
      <c r="O60" s="20">
        <v>473.05</v>
      </c>
      <c r="P60" s="33"/>
      <c r="Q60" s="20">
        <v>385</v>
      </c>
      <c r="R60" s="18"/>
      <c r="S60" s="9">
        <v>40.625</v>
      </c>
      <c r="T60" s="9">
        <v>20</v>
      </c>
      <c r="U60" s="18"/>
      <c r="V60" s="9">
        <v>2662.774</v>
      </c>
      <c r="W60" s="18"/>
      <c r="X60" s="9">
        <v>0</v>
      </c>
      <c r="Y60" s="18"/>
      <c r="Z60" s="9">
        <v>1299.836</v>
      </c>
      <c r="AA60" s="18"/>
      <c r="AB60" s="33"/>
      <c r="AC60" s="9">
        <v>0</v>
      </c>
      <c r="AD60" s="9">
        <v>0</v>
      </c>
      <c r="AE60" s="9">
        <f t="shared" si="1"/>
        <v>0</v>
      </c>
      <c r="AF60" s="18"/>
      <c r="AG60" s="9">
        <v>7026.782</v>
      </c>
      <c r="AH60" s="9">
        <v>2029</v>
      </c>
      <c r="AI60" s="18"/>
      <c r="AJ60" s="9">
        <v>230.169</v>
      </c>
      <c r="AK60" s="9">
        <v>0</v>
      </c>
      <c r="AL60" s="9">
        <v>21.277</v>
      </c>
      <c r="AM60" s="33"/>
      <c r="AN60" s="162">
        <v>824.848</v>
      </c>
      <c r="AO60" s="18"/>
      <c r="AP60" s="20">
        <v>17.766</v>
      </c>
      <c r="AQ60" s="33"/>
      <c r="AR60" s="18">
        <v>13.073639091935352</v>
      </c>
      <c r="AS60" s="18"/>
      <c r="AT60" s="9">
        <v>204.598</v>
      </c>
      <c r="AU60" s="9"/>
      <c r="AV60" s="162">
        <v>46.02</v>
      </c>
      <c r="AW60" s="9"/>
      <c r="AX60" s="193">
        <v>22.523</v>
      </c>
      <c r="AY60" s="18"/>
      <c r="AZ60" s="33">
        <v>0</v>
      </c>
      <c r="BA60" s="18"/>
      <c r="BB60" s="9">
        <v>0</v>
      </c>
      <c r="BC60" s="18"/>
      <c r="BD60" s="9">
        <v>3750</v>
      </c>
      <c r="BE60" s="18"/>
      <c r="BF60" s="9">
        <v>341.099</v>
      </c>
      <c r="BG60" s="18"/>
      <c r="BH60" s="20">
        <v>0</v>
      </c>
      <c r="BI60" s="33"/>
      <c r="BJ60" s="20">
        <v>483</v>
      </c>
      <c r="BK60" s="33"/>
      <c r="BL60" s="9">
        <v>3554</v>
      </c>
      <c r="BM60" s="18"/>
      <c r="BN60" s="18">
        <v>0</v>
      </c>
      <c r="BO60" s="18"/>
      <c r="BP60" s="20">
        <v>719.511</v>
      </c>
      <c r="BQ60" s="18"/>
      <c r="BR60" s="20">
        <v>18550</v>
      </c>
      <c r="BS60" s="33"/>
      <c r="BT60" s="33">
        <v>9593.5</v>
      </c>
      <c r="BU60" s="33">
        <v>0</v>
      </c>
      <c r="BV60" s="33"/>
      <c r="BW60" s="9">
        <v>100</v>
      </c>
      <c r="BX60" s="33"/>
      <c r="BY60" s="9">
        <v>103.95</v>
      </c>
      <c r="BZ60" s="18"/>
      <c r="CA60" s="9">
        <v>0</v>
      </c>
      <c r="CB60" s="18"/>
      <c r="CC60" s="9">
        <v>0</v>
      </c>
      <c r="CD60" s="18"/>
      <c r="CE60" s="25">
        <v>0</v>
      </c>
      <c r="CF60" s="25"/>
      <c r="CG60" s="9">
        <v>0</v>
      </c>
      <c r="CH60" s="18"/>
      <c r="CI60" s="20">
        <v>0</v>
      </c>
      <c r="CJ60" s="33"/>
      <c r="CK60" s="20">
        <v>0</v>
      </c>
      <c r="CL60" s="20">
        <v>963.516</v>
      </c>
      <c r="CM60" s="33"/>
      <c r="CN60" s="20">
        <v>0</v>
      </c>
      <c r="CO60" s="33"/>
      <c r="CP60" s="20">
        <v>412.9354285714286</v>
      </c>
      <c r="CQ60" s="20"/>
      <c r="CR60" s="20">
        <v>0</v>
      </c>
      <c r="CS60" s="20"/>
      <c r="CT60" s="20">
        <v>0</v>
      </c>
      <c r="CU60" s="33"/>
      <c r="CV60" s="20">
        <v>0</v>
      </c>
      <c r="CW60" s="33"/>
      <c r="CX60" s="9">
        <v>212</v>
      </c>
      <c r="CY60" s="9">
        <v>0</v>
      </c>
      <c r="CZ60" s="18"/>
      <c r="DA60" s="9">
        <v>0</v>
      </c>
      <c r="DB60" s="18"/>
      <c r="DC60" s="9">
        <v>622.658</v>
      </c>
      <c r="DD60" s="18"/>
      <c r="DE60" s="9">
        <v>3331.575</v>
      </c>
      <c r="DF60" s="18"/>
      <c r="DG60" s="19" t="s">
        <v>11</v>
      </c>
      <c r="DH60" s="25"/>
      <c r="DI60" s="19" t="s">
        <v>11</v>
      </c>
      <c r="DJ60" s="33"/>
      <c r="DK60" s="20">
        <v>269.887</v>
      </c>
      <c r="DL60" s="18"/>
      <c r="DM60" s="9">
        <v>75</v>
      </c>
      <c r="DN60" s="9">
        <v>170.03</v>
      </c>
      <c r="DO60" s="18"/>
      <c r="DP60" s="9">
        <v>217.5</v>
      </c>
      <c r="DQ60" s="18"/>
      <c r="DR60" s="9">
        <v>424</v>
      </c>
      <c r="DS60" s="18"/>
      <c r="DT60" s="18">
        <v>25</v>
      </c>
      <c r="DU60" s="18"/>
      <c r="DV60" s="9">
        <v>0</v>
      </c>
      <c r="DW60" s="18"/>
      <c r="DX60" s="109">
        <f t="shared" si="2"/>
        <v>66708.95431766336</v>
      </c>
      <c r="DY60" s="72"/>
      <c r="DZ60" s="13" t="s">
        <v>63</v>
      </c>
      <c r="EA60" s="18">
        <v>7100</v>
      </c>
      <c r="EB60" s="89" t="s">
        <v>122</v>
      </c>
      <c r="EC60" s="9">
        <v>0</v>
      </c>
      <c r="ED60" s="9">
        <v>0</v>
      </c>
      <c r="EE60" s="33">
        <v>0</v>
      </c>
      <c r="EF60" s="33">
        <v>0</v>
      </c>
      <c r="EG60" s="9">
        <v>0</v>
      </c>
      <c r="EH60" s="9">
        <v>0</v>
      </c>
      <c r="EI60" s="9">
        <v>0</v>
      </c>
      <c r="EJ60" s="9">
        <v>0</v>
      </c>
      <c r="EK60" s="118">
        <v>0</v>
      </c>
    </row>
    <row r="61" spans="1:141" ht="12.75" hidden="1">
      <c r="A61" s="56" t="s">
        <v>64</v>
      </c>
      <c r="B61" s="33">
        <v>4005</v>
      </c>
      <c r="C61" s="89">
        <v>5266.7787499999995</v>
      </c>
      <c r="D61" s="89"/>
      <c r="E61" s="89">
        <v>0</v>
      </c>
      <c r="F61" s="89"/>
      <c r="G61" s="90">
        <v>0</v>
      </c>
      <c r="H61" s="89"/>
      <c r="I61" s="90">
        <v>407.6470588235294</v>
      </c>
      <c r="J61" s="33"/>
      <c r="K61" s="20">
        <v>0</v>
      </c>
      <c r="L61" s="33"/>
      <c r="M61" s="20">
        <v>0</v>
      </c>
      <c r="N61" s="33"/>
      <c r="O61" s="20">
        <v>310.185</v>
      </c>
      <c r="P61" s="33"/>
      <c r="Q61" s="20">
        <v>385</v>
      </c>
      <c r="R61" s="18"/>
      <c r="S61" s="37">
        <v>162.5</v>
      </c>
      <c r="T61" s="37">
        <v>80</v>
      </c>
      <c r="U61" s="18"/>
      <c r="V61" s="9">
        <v>3740.906</v>
      </c>
      <c r="W61" s="18"/>
      <c r="X61" s="9">
        <v>0</v>
      </c>
      <c r="Y61" s="18"/>
      <c r="Z61" s="9">
        <v>1230.195</v>
      </c>
      <c r="AA61" s="18"/>
      <c r="AB61" s="33"/>
      <c r="AC61" s="9">
        <v>0</v>
      </c>
      <c r="AD61" s="37">
        <v>0</v>
      </c>
      <c r="AE61" s="9">
        <f t="shared" si="1"/>
        <v>0</v>
      </c>
      <c r="AF61" s="18"/>
      <c r="AG61" s="9">
        <v>8664.915</v>
      </c>
      <c r="AH61" s="9">
        <v>2502</v>
      </c>
      <c r="AI61" s="18"/>
      <c r="AJ61" s="9">
        <v>510.352</v>
      </c>
      <c r="AK61" s="9">
        <v>0</v>
      </c>
      <c r="AL61" s="9">
        <v>52.064</v>
      </c>
      <c r="AM61" s="33"/>
      <c r="AN61" s="162">
        <v>1017.144</v>
      </c>
      <c r="AO61" s="18"/>
      <c r="AP61" s="20">
        <v>21.907</v>
      </c>
      <c r="AQ61" s="33"/>
      <c r="AR61" s="37">
        <v>109.37248480633684</v>
      </c>
      <c r="AS61" s="37"/>
      <c r="AT61" s="9">
        <v>554.268</v>
      </c>
      <c r="AU61" s="9"/>
      <c r="AV61" s="162">
        <v>106.2</v>
      </c>
      <c r="AW61" s="9"/>
      <c r="AX61" s="193">
        <v>22.523</v>
      </c>
      <c r="AY61" s="37"/>
      <c r="AZ61" s="33">
        <v>0</v>
      </c>
      <c r="BA61" s="37"/>
      <c r="BB61" s="9">
        <v>0</v>
      </c>
      <c r="BC61" s="37"/>
      <c r="BD61" s="9">
        <v>18750</v>
      </c>
      <c r="BE61" s="37"/>
      <c r="BF61" s="9">
        <v>921.976</v>
      </c>
      <c r="BG61" s="18"/>
      <c r="BH61" s="20">
        <v>0</v>
      </c>
      <c r="BI61" s="33"/>
      <c r="BJ61" s="20">
        <v>2124</v>
      </c>
      <c r="BK61" s="33"/>
      <c r="BL61" s="9">
        <v>2571.5</v>
      </c>
      <c r="BM61" s="18"/>
      <c r="BN61" s="18">
        <v>138</v>
      </c>
      <c r="BO61" s="18"/>
      <c r="BP61" s="20">
        <v>1119.297</v>
      </c>
      <c r="BQ61" s="18"/>
      <c r="BR61" s="20">
        <v>19098</v>
      </c>
      <c r="BS61" s="33"/>
      <c r="BT61" s="33">
        <v>9593.5</v>
      </c>
      <c r="BU61" s="33">
        <v>0</v>
      </c>
      <c r="BV61" s="33"/>
      <c r="BW61" s="9">
        <v>166.426</v>
      </c>
      <c r="BX61" s="33"/>
      <c r="BY61" s="9">
        <v>99</v>
      </c>
      <c r="BZ61" s="18"/>
      <c r="CA61" s="9">
        <v>16.3</v>
      </c>
      <c r="CB61" s="18"/>
      <c r="CC61" s="9">
        <v>32.517</v>
      </c>
      <c r="CD61" s="18"/>
      <c r="CE61" s="33">
        <v>174.053</v>
      </c>
      <c r="CF61" s="33"/>
      <c r="CG61" s="37">
        <v>215.764</v>
      </c>
      <c r="CH61" s="18"/>
      <c r="CI61" s="20">
        <v>1984.169</v>
      </c>
      <c r="CJ61" s="33"/>
      <c r="CK61" s="20">
        <v>0</v>
      </c>
      <c r="CL61" s="20">
        <v>2851.151</v>
      </c>
      <c r="CM61" s="33"/>
      <c r="CN61" s="20">
        <v>0</v>
      </c>
      <c r="CO61" s="33"/>
      <c r="CP61" s="20">
        <v>1221.921857142857</v>
      </c>
      <c r="CQ61" s="20"/>
      <c r="CR61" s="20">
        <v>0</v>
      </c>
      <c r="CS61" s="20"/>
      <c r="CT61" s="20">
        <v>0</v>
      </c>
      <c r="CU61" s="33"/>
      <c r="CV61" s="20">
        <v>0</v>
      </c>
      <c r="CW61" s="33"/>
      <c r="CX61" s="9">
        <v>206</v>
      </c>
      <c r="CY61" s="9">
        <v>0</v>
      </c>
      <c r="CZ61" s="18"/>
      <c r="DA61" s="9">
        <v>0</v>
      </c>
      <c r="DB61" s="18"/>
      <c r="DC61" s="9">
        <v>661.51</v>
      </c>
      <c r="DD61" s="18"/>
      <c r="DE61" s="9">
        <v>4972.5</v>
      </c>
      <c r="DF61" s="18"/>
      <c r="DG61" s="20" t="s">
        <v>11</v>
      </c>
      <c r="DH61" s="33"/>
      <c r="DI61" s="20">
        <v>185.297</v>
      </c>
      <c r="DJ61" s="33"/>
      <c r="DK61" s="20">
        <v>269.887</v>
      </c>
      <c r="DL61" s="18"/>
      <c r="DM61" s="9">
        <v>554.734</v>
      </c>
      <c r="DN61" s="9">
        <v>1383.998</v>
      </c>
      <c r="DO61" s="18"/>
      <c r="DP61" s="9">
        <v>1608.729</v>
      </c>
      <c r="DQ61" s="18"/>
      <c r="DR61" s="37">
        <v>340</v>
      </c>
      <c r="DS61" s="18"/>
      <c r="DT61" s="18">
        <v>25</v>
      </c>
      <c r="DU61" s="18"/>
      <c r="DV61" s="9">
        <v>0</v>
      </c>
      <c r="DW61" s="18"/>
      <c r="DX61" s="109">
        <f t="shared" si="2"/>
        <v>100434.18715077273</v>
      </c>
      <c r="DY61" s="72"/>
      <c r="DZ61" s="56" t="s">
        <v>64</v>
      </c>
      <c r="EA61" s="37">
        <v>14700</v>
      </c>
      <c r="EB61" s="95">
        <v>18000</v>
      </c>
      <c r="EC61" s="37">
        <v>86.577</v>
      </c>
      <c r="ED61" s="37">
        <v>87.476</v>
      </c>
      <c r="EE61" s="33">
        <v>0</v>
      </c>
      <c r="EF61" s="33">
        <v>0</v>
      </c>
      <c r="EG61" s="37">
        <v>0</v>
      </c>
      <c r="EH61" s="37">
        <v>0</v>
      </c>
      <c r="EI61" s="37">
        <v>0</v>
      </c>
      <c r="EJ61" s="37">
        <v>1732.739</v>
      </c>
      <c r="EK61" s="120">
        <v>0</v>
      </c>
    </row>
    <row r="62" spans="1:141" ht="12.75" hidden="1">
      <c r="A62" s="56" t="s">
        <v>185</v>
      </c>
      <c r="B62" s="33">
        <v>1494</v>
      </c>
      <c r="C62" s="89">
        <v>1903.75</v>
      </c>
      <c r="D62" s="89"/>
      <c r="E62" s="89">
        <v>0</v>
      </c>
      <c r="F62" s="89"/>
      <c r="G62" s="90">
        <v>0</v>
      </c>
      <c r="H62" s="89"/>
      <c r="I62" s="90">
        <v>0</v>
      </c>
      <c r="J62" s="33"/>
      <c r="K62" s="20">
        <v>0</v>
      </c>
      <c r="L62" s="33"/>
      <c r="M62" s="20">
        <v>0</v>
      </c>
      <c r="N62" s="33"/>
      <c r="O62" s="20">
        <f>114.85+232.425+114.856+413.4</f>
        <v>875.531</v>
      </c>
      <c r="P62" s="33"/>
      <c r="Q62" s="20">
        <v>337</v>
      </c>
      <c r="R62" s="18"/>
      <c r="S62" s="37">
        <v>40.625</v>
      </c>
      <c r="T62" s="37">
        <v>20</v>
      </c>
      <c r="U62" s="18"/>
      <c r="V62" s="9">
        <v>1823.015</v>
      </c>
      <c r="W62" s="18"/>
      <c r="X62" s="9">
        <v>0</v>
      </c>
      <c r="Y62" s="18"/>
      <c r="Z62" s="9">
        <v>770.658</v>
      </c>
      <c r="AA62" s="18"/>
      <c r="AB62" s="33"/>
      <c r="AC62" s="9">
        <v>0</v>
      </c>
      <c r="AD62" s="37">
        <v>0</v>
      </c>
      <c r="AE62" s="9">
        <f t="shared" si="1"/>
        <v>0</v>
      </c>
      <c r="AF62" s="18"/>
      <c r="AG62" s="9">
        <v>2552.414</v>
      </c>
      <c r="AH62" s="9">
        <v>737.503</v>
      </c>
      <c r="AI62" s="18"/>
      <c r="AJ62" s="9">
        <v>174.906</v>
      </c>
      <c r="AK62" s="9">
        <v>0</v>
      </c>
      <c r="AL62" s="9">
        <v>16.323</v>
      </c>
      <c r="AM62" s="33"/>
      <c r="AN62" s="162">
        <v>299.619</v>
      </c>
      <c r="AO62" s="18"/>
      <c r="AP62" s="20">
        <v>6.032</v>
      </c>
      <c r="AQ62" s="33"/>
      <c r="AR62" s="37">
        <v>4.685856318311329</v>
      </c>
      <c r="AS62" s="37"/>
      <c r="AT62" s="9">
        <v>270.196</v>
      </c>
      <c r="AU62" s="9"/>
      <c r="AV62" s="162">
        <v>106.2</v>
      </c>
      <c r="AW62" s="9"/>
      <c r="AX62" s="193">
        <v>22.523</v>
      </c>
      <c r="AY62" s="37"/>
      <c r="AZ62" s="33">
        <v>0</v>
      </c>
      <c r="BA62" s="37"/>
      <c r="BB62" s="9">
        <v>0</v>
      </c>
      <c r="BC62" s="37"/>
      <c r="BD62" s="9">
        <v>3750</v>
      </c>
      <c r="BE62" s="37"/>
      <c r="BF62" s="9">
        <v>1114.292</v>
      </c>
      <c r="BG62" s="18"/>
      <c r="BH62" s="20">
        <v>0</v>
      </c>
      <c r="BI62" s="33"/>
      <c r="BJ62" s="20">
        <v>1829</v>
      </c>
      <c r="BK62" s="33"/>
      <c r="BL62" s="9">
        <v>1651.7</v>
      </c>
      <c r="BM62" s="18"/>
      <c r="BN62" s="18">
        <v>57</v>
      </c>
      <c r="BO62" s="18"/>
      <c r="BP62" s="20">
        <v>795.206</v>
      </c>
      <c r="BQ62" s="18"/>
      <c r="BR62" s="20">
        <v>18651</v>
      </c>
      <c r="BS62" s="33"/>
      <c r="BT62" s="33">
        <v>9593.5</v>
      </c>
      <c r="BU62" s="33">
        <v>0</v>
      </c>
      <c r="BV62" s="33"/>
      <c r="BW62" s="9">
        <v>100</v>
      </c>
      <c r="BX62" s="33"/>
      <c r="BY62" s="9">
        <v>64.35</v>
      </c>
      <c r="BZ62" s="18"/>
      <c r="CA62" s="9">
        <v>8.192</v>
      </c>
      <c r="CB62" s="18"/>
      <c r="CC62" s="9">
        <v>16.343</v>
      </c>
      <c r="CD62" s="18"/>
      <c r="CE62" s="25">
        <v>0</v>
      </c>
      <c r="CF62" s="25"/>
      <c r="CG62" s="37">
        <v>0</v>
      </c>
      <c r="CH62" s="18"/>
      <c r="CI62" s="20">
        <v>0</v>
      </c>
      <c r="CJ62" s="33"/>
      <c r="CK62" s="20">
        <v>0</v>
      </c>
      <c r="CL62" s="20">
        <v>1374.719</v>
      </c>
      <c r="CM62" s="33"/>
      <c r="CN62" s="20">
        <v>0</v>
      </c>
      <c r="CO62" s="33"/>
      <c r="CP62" s="20">
        <v>589.1652857142857</v>
      </c>
      <c r="CQ62" s="20"/>
      <c r="CR62" s="20">
        <v>104.208</v>
      </c>
      <c r="CS62" s="20"/>
      <c r="CT62" s="20">
        <v>0</v>
      </c>
      <c r="CU62" s="33"/>
      <c r="CV62" s="20">
        <v>0</v>
      </c>
      <c r="CW62" s="33"/>
      <c r="CX62" s="9">
        <v>762</v>
      </c>
      <c r="CY62" s="9">
        <v>145.139</v>
      </c>
      <c r="CZ62" s="18"/>
      <c r="DA62" s="9">
        <v>0</v>
      </c>
      <c r="DB62" s="18"/>
      <c r="DC62" s="9">
        <v>630.273</v>
      </c>
      <c r="DD62" s="18"/>
      <c r="DE62" s="9">
        <v>1640.925</v>
      </c>
      <c r="DF62" s="18"/>
      <c r="DG62" s="20" t="s">
        <v>11</v>
      </c>
      <c r="DH62" s="33"/>
      <c r="DI62" s="20" t="s">
        <v>11</v>
      </c>
      <c r="DJ62" s="33"/>
      <c r="DK62" s="20">
        <v>89.962</v>
      </c>
      <c r="DL62" s="18"/>
      <c r="DM62" s="9">
        <v>205.279</v>
      </c>
      <c r="DN62" s="9">
        <v>512.149</v>
      </c>
      <c r="DO62" s="18"/>
      <c r="DP62" s="9">
        <v>595.309</v>
      </c>
      <c r="DQ62" s="18"/>
      <c r="DR62" s="37">
        <v>0</v>
      </c>
      <c r="DS62" s="18"/>
      <c r="DT62" s="18">
        <v>25</v>
      </c>
      <c r="DU62" s="18"/>
      <c r="DV62" s="9">
        <v>0</v>
      </c>
      <c r="DW62" s="18"/>
      <c r="DX62" s="109">
        <f t="shared" si="2"/>
        <v>55759.692142032596</v>
      </c>
      <c r="DY62" s="72"/>
      <c r="DZ62" s="56" t="s">
        <v>65</v>
      </c>
      <c r="EA62" s="37">
        <v>2700</v>
      </c>
      <c r="EB62" s="89" t="s">
        <v>122</v>
      </c>
      <c r="EC62" s="37">
        <v>0</v>
      </c>
      <c r="ED62" s="37">
        <v>0</v>
      </c>
      <c r="EE62" s="33">
        <v>0</v>
      </c>
      <c r="EF62" s="33">
        <v>0</v>
      </c>
      <c r="EG62" s="37">
        <v>0</v>
      </c>
      <c r="EH62" s="37">
        <v>0</v>
      </c>
      <c r="EI62" s="37">
        <v>0</v>
      </c>
      <c r="EJ62" s="37">
        <v>0</v>
      </c>
      <c r="EK62" s="120">
        <v>0</v>
      </c>
    </row>
    <row r="63" spans="1:141" ht="12.75" hidden="1">
      <c r="A63" s="55" t="s">
        <v>66</v>
      </c>
      <c r="B63" s="22">
        <v>4086</v>
      </c>
      <c r="C63" s="91">
        <v>5452.14875</v>
      </c>
      <c r="D63" s="89"/>
      <c r="E63" s="91">
        <v>0</v>
      </c>
      <c r="F63" s="89"/>
      <c r="G63" s="91">
        <v>0</v>
      </c>
      <c r="H63" s="89"/>
      <c r="I63" s="91">
        <v>434.8235294117647</v>
      </c>
      <c r="J63" s="33"/>
      <c r="K63" s="22">
        <v>0</v>
      </c>
      <c r="L63" s="33"/>
      <c r="M63" s="22">
        <v>0</v>
      </c>
      <c r="N63" s="33"/>
      <c r="O63" s="22">
        <f>160.435+131.185</f>
        <v>291.62</v>
      </c>
      <c r="P63" s="33"/>
      <c r="Q63" s="22">
        <v>380</v>
      </c>
      <c r="R63" s="18"/>
      <c r="S63" s="10">
        <v>162.5</v>
      </c>
      <c r="T63" s="10">
        <v>80</v>
      </c>
      <c r="U63" s="18"/>
      <c r="V63" s="11">
        <v>1773.305</v>
      </c>
      <c r="W63" s="18"/>
      <c r="X63" s="11">
        <v>0</v>
      </c>
      <c r="Y63" s="18"/>
      <c r="Z63" s="11">
        <v>1699.311</v>
      </c>
      <c r="AA63" s="18"/>
      <c r="AB63" s="33"/>
      <c r="AC63" s="11">
        <v>0</v>
      </c>
      <c r="AD63" s="10">
        <v>0</v>
      </c>
      <c r="AE63" s="11">
        <f t="shared" si="1"/>
        <v>0</v>
      </c>
      <c r="AF63" s="18"/>
      <c r="AG63" s="11">
        <v>9442.219</v>
      </c>
      <c r="AH63" s="11">
        <v>2728.265</v>
      </c>
      <c r="AI63" s="18"/>
      <c r="AJ63" s="11">
        <v>324.371</v>
      </c>
      <c r="AK63" s="11">
        <v>0</v>
      </c>
      <c r="AL63" s="11">
        <v>27.753</v>
      </c>
      <c r="AM63" s="33"/>
      <c r="AN63" s="11">
        <v>1108.389</v>
      </c>
      <c r="AO63" s="18"/>
      <c r="AP63" s="22">
        <v>23.874</v>
      </c>
      <c r="AQ63" s="33"/>
      <c r="AR63" s="10">
        <v>17.61342578928317</v>
      </c>
      <c r="AS63" s="37"/>
      <c r="AT63" s="11">
        <v>350.904</v>
      </c>
      <c r="AU63" s="18"/>
      <c r="AV63" s="11">
        <v>0</v>
      </c>
      <c r="AW63" s="18"/>
      <c r="AX63" s="194">
        <v>22.523</v>
      </c>
      <c r="AY63" s="37"/>
      <c r="AZ63" s="114">
        <v>0</v>
      </c>
      <c r="BA63" s="37"/>
      <c r="BB63" s="114">
        <v>0</v>
      </c>
      <c r="BC63" s="37"/>
      <c r="BD63" s="11">
        <v>18750</v>
      </c>
      <c r="BE63" s="37"/>
      <c r="BF63" s="11">
        <v>1284.112</v>
      </c>
      <c r="BG63" s="18"/>
      <c r="BH63" s="22">
        <v>0</v>
      </c>
      <c r="BI63" s="33"/>
      <c r="BJ63" s="22">
        <v>1999</v>
      </c>
      <c r="BK63" s="33"/>
      <c r="BL63" s="11">
        <v>2062.7</v>
      </c>
      <c r="BM63" s="18"/>
      <c r="BN63" s="11">
        <v>57</v>
      </c>
      <c r="BO63" s="18"/>
      <c r="BP63" s="22">
        <v>1415.429</v>
      </c>
      <c r="BQ63" s="18"/>
      <c r="BR63" s="22">
        <v>20678</v>
      </c>
      <c r="BS63" s="33"/>
      <c r="BT63" s="22">
        <v>9593.5</v>
      </c>
      <c r="BU63" s="22">
        <v>0</v>
      </c>
      <c r="BV63" s="33"/>
      <c r="BW63" s="11">
        <v>104.052</v>
      </c>
      <c r="BX63" s="33"/>
      <c r="BY63" s="11">
        <v>138.6</v>
      </c>
      <c r="BZ63" s="18"/>
      <c r="CA63" s="11">
        <v>18.092</v>
      </c>
      <c r="CB63" s="18"/>
      <c r="CC63" s="11">
        <v>36.092</v>
      </c>
      <c r="CD63" s="18"/>
      <c r="CE63" s="22">
        <v>104.019</v>
      </c>
      <c r="CF63" s="33"/>
      <c r="CG63" s="10">
        <v>215.764</v>
      </c>
      <c r="CH63" s="18"/>
      <c r="CI63" s="22">
        <v>9415.808</v>
      </c>
      <c r="CJ63" s="33"/>
      <c r="CK63" s="22">
        <v>0</v>
      </c>
      <c r="CL63" s="22">
        <v>1810.614</v>
      </c>
      <c r="CM63" s="33"/>
      <c r="CN63" s="22">
        <v>0</v>
      </c>
      <c r="CO63" s="33"/>
      <c r="CP63" s="22">
        <v>775.9774285714286</v>
      </c>
      <c r="CQ63" s="33"/>
      <c r="CR63" s="22">
        <v>1358.885</v>
      </c>
      <c r="CS63" s="33"/>
      <c r="CT63" s="22">
        <v>0</v>
      </c>
      <c r="CU63" s="33"/>
      <c r="CV63" s="22">
        <v>0</v>
      </c>
      <c r="CW63" s="33"/>
      <c r="CX63" s="11">
        <v>507</v>
      </c>
      <c r="CY63" s="11">
        <v>24.799</v>
      </c>
      <c r="CZ63" s="18"/>
      <c r="DA63" s="11">
        <v>0</v>
      </c>
      <c r="DB63" s="18"/>
      <c r="DC63" s="11">
        <v>638.39</v>
      </c>
      <c r="DD63" s="18"/>
      <c r="DE63" s="11">
        <v>4972.5</v>
      </c>
      <c r="DF63" s="18"/>
      <c r="DG63" s="74">
        <v>143.065</v>
      </c>
      <c r="DH63" s="71"/>
      <c r="DI63" s="22">
        <v>780.013</v>
      </c>
      <c r="DJ63" s="33"/>
      <c r="DK63" s="22">
        <v>269.887</v>
      </c>
      <c r="DL63" s="18"/>
      <c r="DM63" s="11">
        <v>327.487</v>
      </c>
      <c r="DN63" s="11">
        <v>817.044</v>
      </c>
      <c r="DO63" s="18"/>
      <c r="DP63" s="11">
        <v>949.712</v>
      </c>
      <c r="DQ63" s="18"/>
      <c r="DR63" s="10">
        <v>0</v>
      </c>
      <c r="DS63" s="18"/>
      <c r="DT63" s="11">
        <v>50</v>
      </c>
      <c r="DU63" s="18"/>
      <c r="DV63" s="11">
        <v>0</v>
      </c>
      <c r="DW63" s="18"/>
      <c r="DX63" s="110">
        <f t="shared" si="2"/>
        <v>107703.16113377248</v>
      </c>
      <c r="DY63" s="72"/>
      <c r="DZ63" s="55" t="s">
        <v>66</v>
      </c>
      <c r="EA63" s="10">
        <v>5100</v>
      </c>
      <c r="EB63" s="103">
        <v>9000</v>
      </c>
      <c r="EC63" s="10">
        <v>51.741</v>
      </c>
      <c r="ED63" s="10">
        <v>52.278</v>
      </c>
      <c r="EE63" s="22">
        <v>0</v>
      </c>
      <c r="EF63" s="22">
        <v>0</v>
      </c>
      <c r="EG63" s="10">
        <v>0</v>
      </c>
      <c r="EH63" s="10">
        <v>0</v>
      </c>
      <c r="EI63" s="10">
        <v>0</v>
      </c>
      <c r="EJ63" s="10">
        <v>1423.282</v>
      </c>
      <c r="EK63" s="183">
        <v>0</v>
      </c>
    </row>
    <row r="64" spans="1:141" s="77" customFormat="1" ht="12.75" hidden="1">
      <c r="A64" s="57" t="s">
        <v>67</v>
      </c>
      <c r="B64" s="12">
        <f>SUM(B8:B63)</f>
        <v>34244483.368</v>
      </c>
      <c r="C64" s="93">
        <f>SUM(C8:C63)</f>
        <v>51348350.27089908</v>
      </c>
      <c r="D64" s="93"/>
      <c r="E64" s="93">
        <f>SUM(E8:E63)</f>
        <v>548302.1894374989</v>
      </c>
      <c r="F64" s="93"/>
      <c r="G64" s="93">
        <f>SUM(G8:G63)</f>
        <v>843639.9514215133</v>
      </c>
      <c r="H64" s="93"/>
      <c r="I64" s="93">
        <f>SUM(I8:I63)</f>
        <v>1778109.8823529414</v>
      </c>
      <c r="J64" s="127"/>
      <c r="K64" s="127">
        <f>SUM(K8:K63)</f>
        <v>847508.009</v>
      </c>
      <c r="L64" s="127"/>
      <c r="M64" s="127">
        <f>SUM(M8:M63)</f>
        <v>154781.54499999998</v>
      </c>
      <c r="N64" s="127"/>
      <c r="O64" s="127">
        <f>SUM(O8:O63)</f>
        <v>337903.283</v>
      </c>
      <c r="P64" s="127"/>
      <c r="Q64" s="12">
        <f>SUM(Q8:Q63)</f>
        <v>197219.99</v>
      </c>
      <c r="R64" s="127"/>
      <c r="S64" s="127">
        <f>SUM(S8:S63)</f>
        <v>65000</v>
      </c>
      <c r="T64" s="127">
        <f>SUM(T8:T63)</f>
        <v>31999.999999999996</v>
      </c>
      <c r="U64" s="127">
        <f>SUM(U8:U63)</f>
        <v>0</v>
      </c>
      <c r="V64" s="12">
        <f>SUM(V8:V63)</f>
        <v>1954997.5559999999</v>
      </c>
      <c r="W64" s="127"/>
      <c r="X64" s="12">
        <f>SUM(X8:X63)</f>
        <v>629256.0059999999</v>
      </c>
      <c r="Y64" s="127"/>
      <c r="Z64" s="12">
        <f>SUM(Z8:Z63)</f>
        <v>978303.8769999997</v>
      </c>
      <c r="AA64" s="127"/>
      <c r="AB64" s="127"/>
      <c r="AC64" s="127">
        <f>SUM(AC8:AC63)</f>
        <v>39524124</v>
      </c>
      <c r="AD64" s="127">
        <f>SUM(AD8:AD63)</f>
        <v>8793876</v>
      </c>
      <c r="AE64" s="127">
        <f t="shared" si="1"/>
        <v>48318000</v>
      </c>
      <c r="AF64" s="127">
        <f>SUM(AF8:AF63)</f>
        <v>0</v>
      </c>
      <c r="AG64" s="127">
        <f>SUM(AG8:AG63)</f>
        <v>9927686.329999998</v>
      </c>
      <c r="AH64" s="12">
        <f>SUM(AH8:AH63)</f>
        <v>2979131.738999999</v>
      </c>
      <c r="AI64" s="127"/>
      <c r="AJ64" s="127">
        <f>SUM(AJ8:AJ63)</f>
        <v>11299999.999999994</v>
      </c>
      <c r="AK64" s="127">
        <f>SUM(AK8:AK63)</f>
        <v>400000.00000000006</v>
      </c>
      <c r="AL64" s="127">
        <f>SUM(AL8:AL63)</f>
        <v>499999.96799999976</v>
      </c>
      <c r="AM64" s="127"/>
      <c r="AN64" s="127">
        <f>SUM(AN8:AN63)</f>
        <v>645125.3659999999</v>
      </c>
      <c r="AO64" s="127"/>
      <c r="AP64" s="12">
        <f>SUM(AP8:AP63)</f>
        <v>69299.57900000001</v>
      </c>
      <c r="AQ64" s="127"/>
      <c r="AR64" s="127">
        <f>SUM(AR8:AR63)</f>
        <v>199924.88553349025</v>
      </c>
      <c r="AS64" s="127">
        <f>SUM(AS8:AS63)</f>
        <v>0</v>
      </c>
      <c r="AT64" s="127">
        <f>SUM(AT8:AT63)</f>
        <v>540000.0000000001</v>
      </c>
      <c r="AU64" s="127"/>
      <c r="AV64" s="127">
        <f>SUM(AV8:AV63)</f>
        <v>84959.54800000007</v>
      </c>
      <c r="AW64" s="127"/>
      <c r="AX64" s="196">
        <f>SUM(AX8:AX63)</f>
        <v>18018.00000000002</v>
      </c>
      <c r="AY64" s="127"/>
      <c r="AZ64" s="127">
        <f>SUM(AZ8:AZ63)</f>
        <v>33956.99999999999</v>
      </c>
      <c r="BA64" s="127"/>
      <c r="BB64" s="127">
        <f>SUM(BB8:BB63)</f>
        <v>39545.411000000015</v>
      </c>
      <c r="BC64" s="127"/>
      <c r="BD64" s="127">
        <f>SUM(BD8:BD63)</f>
        <v>26809995</v>
      </c>
      <c r="BE64" s="127"/>
      <c r="BF64" s="127">
        <v>6733700</v>
      </c>
      <c r="BG64" s="127">
        <f>SUM(BG8:BG63)</f>
        <v>0</v>
      </c>
      <c r="BH64" s="127">
        <f>SUM(BH8:BH63)</f>
        <v>742500.0000000001</v>
      </c>
      <c r="BI64" s="127">
        <f>SUM(BI8:BI63)</f>
        <v>0</v>
      </c>
      <c r="BJ64" s="127">
        <f>SUM(BJ8:BJ63)</f>
        <v>1950000</v>
      </c>
      <c r="BK64" s="127"/>
      <c r="BL64" s="127">
        <f>SUM(BL8:BL63)</f>
        <v>3909000</v>
      </c>
      <c r="BM64" s="127"/>
      <c r="BN64" s="127">
        <f>SUM(BN8:BN63)</f>
        <v>190667</v>
      </c>
      <c r="BO64" s="127"/>
      <c r="BP64" s="127">
        <f>SUM(BP8:BP63)</f>
        <v>4718722.67</v>
      </c>
      <c r="BQ64" s="127"/>
      <c r="BR64" s="127">
        <f>SUM(BR8:BR63)</f>
        <v>3069000</v>
      </c>
      <c r="BS64" s="127"/>
      <c r="BT64" s="127">
        <f>SUM(BT8:BT63)</f>
        <v>767480</v>
      </c>
      <c r="BU64" s="127">
        <f>SUM(BU8:BU63)</f>
        <v>1880310.0000000002</v>
      </c>
      <c r="BV64" s="127"/>
      <c r="BW64" s="12">
        <f>SUM(BW8:BW63)</f>
        <v>295999.997</v>
      </c>
      <c r="BX64" s="127"/>
      <c r="BY64" s="12">
        <f aca="true" t="shared" si="3" ref="BY64:CE64">SUM(BY8:BY63)</f>
        <v>99069.95099999999</v>
      </c>
      <c r="BZ64" s="127">
        <f t="shared" si="3"/>
        <v>0</v>
      </c>
      <c r="CA64" s="127">
        <f t="shared" si="3"/>
        <v>50000.006</v>
      </c>
      <c r="CB64" s="127">
        <f t="shared" si="3"/>
        <v>0</v>
      </c>
      <c r="CC64" s="127">
        <f t="shared" si="3"/>
        <v>99750.17000000003</v>
      </c>
      <c r="CD64" s="127">
        <f t="shared" si="3"/>
        <v>0</v>
      </c>
      <c r="CE64" s="12">
        <f t="shared" si="3"/>
        <v>290502.00000000006</v>
      </c>
      <c r="CF64" s="127"/>
      <c r="CG64" s="127">
        <f>SUM(CG8:CG63)</f>
        <v>99999.99999999999</v>
      </c>
      <c r="CH64" s="127"/>
      <c r="CI64" s="127">
        <f>SUM(CI8:CI63)</f>
        <v>2985000.0000000005</v>
      </c>
      <c r="CJ64" s="127">
        <f aca="true" t="shared" si="4" ref="CJ64:DN64">SUM(CJ8:CJ63)</f>
        <v>0</v>
      </c>
      <c r="CK64" s="127">
        <f t="shared" si="4"/>
        <v>681365.152</v>
      </c>
      <c r="CL64" s="127">
        <f t="shared" si="4"/>
        <v>297484.5040000001</v>
      </c>
      <c r="CM64" s="127">
        <f t="shared" si="4"/>
        <v>0</v>
      </c>
      <c r="CN64" s="127">
        <f t="shared" si="4"/>
        <v>2249999.9999999995</v>
      </c>
      <c r="CO64" s="127">
        <f t="shared" si="4"/>
        <v>0</v>
      </c>
      <c r="CP64" s="127">
        <f t="shared" si="4"/>
        <v>1492500</v>
      </c>
      <c r="CQ64" s="127"/>
      <c r="CR64" s="127">
        <f>SUM(CR8:CR63)</f>
        <v>2000000</v>
      </c>
      <c r="CS64" s="127"/>
      <c r="CT64" s="127">
        <f>SUM(CT8:CT63)</f>
        <v>99500.00000000003</v>
      </c>
      <c r="CU64" s="127"/>
      <c r="CV64" s="127">
        <f>SUM(CV8:CV63)</f>
        <v>255000.00000000003</v>
      </c>
      <c r="CW64" s="130"/>
      <c r="CX64" s="127">
        <f t="shared" si="4"/>
        <v>47500</v>
      </c>
      <c r="CY64" s="127">
        <f t="shared" si="4"/>
        <v>47500</v>
      </c>
      <c r="CZ64" s="127">
        <f t="shared" si="4"/>
        <v>0</v>
      </c>
      <c r="DA64" s="127">
        <f t="shared" si="4"/>
        <v>41499.327</v>
      </c>
      <c r="DB64" s="127">
        <f t="shared" si="4"/>
        <v>0</v>
      </c>
      <c r="DC64" s="127">
        <f t="shared" si="4"/>
        <v>140376.00000000003</v>
      </c>
      <c r="DD64" s="127">
        <f t="shared" si="4"/>
        <v>0</v>
      </c>
      <c r="DE64" s="127">
        <f t="shared" si="4"/>
        <v>1236110.9179999996</v>
      </c>
      <c r="DF64" s="127">
        <f t="shared" si="4"/>
        <v>0</v>
      </c>
      <c r="DG64" s="127">
        <f t="shared" si="4"/>
        <v>500000</v>
      </c>
      <c r="DH64" s="127">
        <f t="shared" si="4"/>
        <v>0</v>
      </c>
      <c r="DI64" s="127">
        <f t="shared" si="4"/>
        <v>396000</v>
      </c>
      <c r="DJ64" s="127">
        <f t="shared" si="4"/>
        <v>0</v>
      </c>
      <c r="DK64" s="127">
        <f t="shared" si="4"/>
        <v>26160.76099999999</v>
      </c>
      <c r="DL64" s="127">
        <f t="shared" si="4"/>
        <v>0</v>
      </c>
      <c r="DM64" s="127">
        <f t="shared" si="4"/>
        <v>494925.0000000002</v>
      </c>
      <c r="DN64" s="127">
        <f t="shared" si="4"/>
        <v>1170093.221</v>
      </c>
      <c r="DO64" s="127"/>
      <c r="DP64" s="127">
        <f>SUM(DP8:DP63)</f>
        <v>1240871.25</v>
      </c>
      <c r="DQ64" s="130"/>
      <c r="DR64" s="12">
        <f>SUM(DR8:DR63)</f>
        <v>30058</v>
      </c>
      <c r="DS64" s="130"/>
      <c r="DT64" s="130">
        <f>SUM(DT8:DT63)</f>
        <v>16779.5</v>
      </c>
      <c r="DU64" s="130"/>
      <c r="DV64" s="127">
        <f>SUM(DV8:DV63)</f>
        <v>150922</v>
      </c>
      <c r="DW64" s="130"/>
      <c r="DX64" s="111">
        <f>SUM(DX8:DX63)</f>
        <v>236321846.18164456</v>
      </c>
      <c r="DY64" s="76"/>
      <c r="DZ64" s="57" t="s">
        <v>67</v>
      </c>
      <c r="EA64" s="35">
        <f aca="true" t="shared" si="5" ref="EA64:EK64">SUM(EA8:EA63)</f>
        <v>25340000</v>
      </c>
      <c r="EB64" s="113">
        <f t="shared" si="5"/>
        <v>19255000</v>
      </c>
      <c r="EC64" s="12">
        <f t="shared" si="5"/>
        <v>144501.99999999997</v>
      </c>
      <c r="ED64" s="12">
        <f t="shared" si="5"/>
        <v>146000</v>
      </c>
      <c r="EE64" s="12">
        <f t="shared" si="5"/>
        <v>944950.6500000001</v>
      </c>
      <c r="EF64" s="12">
        <f t="shared" si="5"/>
        <v>48155.001000000004</v>
      </c>
      <c r="EG64" s="12">
        <f>SUM(EG8:EG63)</f>
        <v>8774124.567</v>
      </c>
      <c r="EH64" s="12">
        <f t="shared" si="5"/>
        <v>269788.21</v>
      </c>
      <c r="EI64" s="12">
        <f t="shared" si="5"/>
        <v>2638571</v>
      </c>
      <c r="EJ64" s="12">
        <f t="shared" si="5"/>
        <v>8193486.601</v>
      </c>
      <c r="EK64" s="127">
        <f t="shared" si="5"/>
        <v>455586</v>
      </c>
    </row>
    <row r="65" spans="1:141" s="9" customFormat="1" ht="12.75" hidden="1">
      <c r="A65" s="9" t="s">
        <v>146</v>
      </c>
      <c r="C65" s="94"/>
      <c r="D65" s="94"/>
      <c r="E65" s="94"/>
      <c r="F65" s="95"/>
      <c r="G65" s="94"/>
      <c r="H65" s="95"/>
      <c r="I65" s="94" t="s">
        <v>159</v>
      </c>
      <c r="J65" s="18"/>
      <c r="K65" s="9">
        <v>4012.25</v>
      </c>
      <c r="L65" s="18"/>
      <c r="N65" s="18"/>
      <c r="P65" s="18"/>
      <c r="Q65" s="9">
        <f>215+385+180+50000+500+1500+50000</f>
        <v>102780</v>
      </c>
      <c r="R65" s="18"/>
      <c r="T65" s="9">
        <v>3000</v>
      </c>
      <c r="U65" s="18"/>
      <c r="V65" s="9">
        <v>45000</v>
      </c>
      <c r="W65" s="18"/>
      <c r="X65" s="9">
        <f>9208.606+9043.026+14075.17+15522.809+752.088+1498.772</f>
        <v>50100.471</v>
      </c>
      <c r="Y65" s="18"/>
      <c r="Z65" s="9">
        <f>6696.123</f>
        <v>6696.123</v>
      </c>
      <c r="AA65" s="18"/>
      <c r="AB65" s="18"/>
      <c r="AC65" s="9">
        <v>219224</v>
      </c>
      <c r="AD65" s="9">
        <v>48776</v>
      </c>
      <c r="AE65" s="9">
        <f>SUM(AC65:AD65)</f>
        <v>268000</v>
      </c>
      <c r="AF65" s="18"/>
      <c r="AG65" s="9">
        <v>72313.67</v>
      </c>
      <c r="AH65" s="9">
        <v>20868.824</v>
      </c>
      <c r="AJ65" s="9">
        <v>0</v>
      </c>
      <c r="AK65" s="9">
        <v>0</v>
      </c>
      <c r="AL65" s="18">
        <v>71914.05</v>
      </c>
      <c r="AM65" s="18"/>
      <c r="AN65" s="18">
        <v>4875</v>
      </c>
      <c r="AO65" s="18"/>
      <c r="AP65" s="18">
        <v>700</v>
      </c>
      <c r="AR65" s="18">
        <v>75.11446650983156</v>
      </c>
      <c r="AS65" s="18"/>
      <c r="AT65" s="18">
        <v>0</v>
      </c>
      <c r="AU65" s="18"/>
      <c r="AV65" s="18">
        <v>2540</v>
      </c>
      <c r="AW65" s="18"/>
      <c r="AX65" s="9">
        <f>'[1]Sheet1'!$D$3362/1000</f>
        <v>182</v>
      </c>
      <c r="AY65" s="18"/>
      <c r="AZ65" s="16">
        <v>343</v>
      </c>
      <c r="BA65" s="18"/>
      <c r="BB65" s="25"/>
      <c r="BC65" s="18"/>
      <c r="BD65" s="18">
        <f>550000+20000+20000+60000+40000</f>
        <v>690000</v>
      </c>
      <c r="BE65" s="18"/>
      <c r="BF65" s="9">
        <f>(64300-7500)+17000</f>
        <v>73800</v>
      </c>
      <c r="BG65" s="18"/>
      <c r="BH65" s="20">
        <v>7500</v>
      </c>
      <c r="BI65" s="33"/>
      <c r="BJ65" s="20">
        <v>50000</v>
      </c>
      <c r="BK65" s="33"/>
      <c r="BL65" s="9">
        <v>91000</v>
      </c>
      <c r="BM65" s="18"/>
      <c r="BN65" s="18"/>
      <c r="BO65" s="18"/>
      <c r="BQ65" s="18"/>
      <c r="BS65" s="18"/>
      <c r="BT65" s="18"/>
      <c r="BU65" s="18">
        <v>54818.9</v>
      </c>
      <c r="BV65" s="18"/>
      <c r="BX65" s="18"/>
      <c r="BZ65" s="18"/>
      <c r="CB65" s="18"/>
      <c r="CC65" s="9">
        <v>250</v>
      </c>
      <c r="CD65" s="18"/>
      <c r="CE65" s="18"/>
      <c r="CF65" s="18"/>
      <c r="CH65" s="18"/>
      <c r="CI65" s="9">
        <f>3000000-CI64</f>
        <v>14999.999999999534</v>
      </c>
      <c r="CJ65" s="18"/>
      <c r="CK65" s="9">
        <f>700000-CK64</f>
        <v>18634.847999999998</v>
      </c>
      <c r="CL65" s="9">
        <f>300000-CL64</f>
        <v>2515.4959999999264</v>
      </c>
      <c r="CM65" s="18"/>
      <c r="CN65" s="9">
        <v>0</v>
      </c>
      <c r="CO65" s="18"/>
      <c r="CP65" s="9">
        <f>1500000-CP64</f>
        <v>7500</v>
      </c>
      <c r="CT65" s="9">
        <f>100000-CT64</f>
        <v>499.9999999999709</v>
      </c>
      <c r="CU65" s="18"/>
      <c r="CV65" s="18"/>
      <c r="CW65" s="18"/>
      <c r="CX65" s="9">
        <f>50000-CX64</f>
        <v>2500</v>
      </c>
      <c r="CY65" s="9">
        <f>50000-CY64</f>
        <v>2500</v>
      </c>
      <c r="CZ65" s="18"/>
      <c r="DA65" s="9">
        <f>50000-DA64</f>
        <v>8500.673000000003</v>
      </c>
      <c r="DB65" s="18"/>
      <c r="DC65" s="9">
        <f>175000-DC64</f>
        <v>34623.99999999997</v>
      </c>
      <c r="DD65" s="18"/>
      <c r="DE65" s="9">
        <f>2000000-DE64</f>
        <v>763889.0820000004</v>
      </c>
      <c r="DF65" s="18"/>
      <c r="DG65" s="9">
        <f>500000-DG64</f>
        <v>0</v>
      </c>
      <c r="DH65" s="18"/>
      <c r="DI65" s="9">
        <f>400000-DI64</f>
        <v>4000</v>
      </c>
      <c r="DJ65" s="18"/>
      <c r="DK65" s="9">
        <f>120000-DK64</f>
        <v>93839.239</v>
      </c>
      <c r="DL65" s="18"/>
      <c r="DM65" s="9">
        <f>500000-DM64</f>
        <v>5074.999999999825</v>
      </c>
      <c r="DN65" s="9">
        <f>1200000-DN64</f>
        <v>29906.779000000097</v>
      </c>
      <c r="DO65" s="18"/>
      <c r="DP65" s="9">
        <f>1250000-DP64</f>
        <v>9128.75</v>
      </c>
      <c r="DQ65" s="18"/>
      <c r="DS65" s="18"/>
      <c r="DT65" s="18">
        <f>50+514.4+444.1+519.8+387.3-510.5+593.9</f>
        <v>1999</v>
      </c>
      <c r="DU65" s="18"/>
      <c r="DW65" s="18"/>
      <c r="DX65" s="109"/>
      <c r="DY65" s="18"/>
      <c r="DZ65" s="9" t="s">
        <v>146</v>
      </c>
      <c r="EA65" s="18">
        <v>24000</v>
      </c>
      <c r="EB65" s="95"/>
      <c r="EE65" s="18">
        <v>140722</v>
      </c>
      <c r="EF65" s="18">
        <v>1845</v>
      </c>
      <c r="EI65" s="9">
        <f>7000000-EI64</f>
        <v>4361429</v>
      </c>
      <c r="EJ65" s="18"/>
      <c r="EK65" s="118"/>
    </row>
    <row r="66" spans="2:141" s="19" customFormat="1" ht="25.5">
      <c r="B66" s="19" t="s">
        <v>609</v>
      </c>
      <c r="C66" s="190" t="s">
        <v>557</v>
      </c>
      <c r="D66" s="190"/>
      <c r="E66" s="190"/>
      <c r="F66" s="106"/>
      <c r="G66" s="190" t="s">
        <v>557</v>
      </c>
      <c r="H66" s="106"/>
      <c r="I66" s="190" t="s">
        <v>457</v>
      </c>
      <c r="J66" s="25"/>
      <c r="K66" s="134" t="s">
        <v>438</v>
      </c>
      <c r="L66" s="25"/>
      <c r="M66" s="134" t="s">
        <v>197</v>
      </c>
      <c r="N66" s="25"/>
      <c r="O66" s="134" t="s">
        <v>439</v>
      </c>
      <c r="P66" s="25"/>
      <c r="Q66" s="134" t="s">
        <v>273</v>
      </c>
      <c r="R66" s="36"/>
      <c r="S66" s="23" t="s">
        <v>155</v>
      </c>
      <c r="T66" s="23" t="s">
        <v>155</v>
      </c>
      <c r="U66" s="36"/>
      <c r="V66" s="23" t="s">
        <v>262</v>
      </c>
      <c r="W66" s="36"/>
      <c r="X66" s="23" t="s">
        <v>262</v>
      </c>
      <c r="Y66" s="36"/>
      <c r="Z66" s="135" t="s">
        <v>177</v>
      </c>
      <c r="AA66" s="36"/>
      <c r="AB66" s="25"/>
      <c r="AC66" s="134" t="s">
        <v>607</v>
      </c>
      <c r="AD66" s="134" t="s">
        <v>607</v>
      </c>
      <c r="AE66" s="134" t="s">
        <v>607</v>
      </c>
      <c r="AF66" s="134"/>
      <c r="AG66" s="134" t="s">
        <v>607</v>
      </c>
      <c r="AH66" s="134" t="s">
        <v>607</v>
      </c>
      <c r="AI66" s="134"/>
      <c r="AJ66" s="134" t="s">
        <v>607</v>
      </c>
      <c r="AK66" s="134" t="s">
        <v>607</v>
      </c>
      <c r="AL66" s="134" t="s">
        <v>607</v>
      </c>
      <c r="AM66" s="134"/>
      <c r="AN66" s="134" t="s">
        <v>607</v>
      </c>
      <c r="AO66" s="134"/>
      <c r="AP66" s="134" t="s">
        <v>607</v>
      </c>
      <c r="AQ66" s="134"/>
      <c r="AR66" s="134" t="s">
        <v>607</v>
      </c>
      <c r="AS66" s="36"/>
      <c r="AT66" s="134" t="s">
        <v>607</v>
      </c>
      <c r="AU66" s="36"/>
      <c r="AV66" s="134" t="s">
        <v>607</v>
      </c>
      <c r="AW66" s="36"/>
      <c r="AX66" s="134" t="s">
        <v>607</v>
      </c>
      <c r="AY66" s="36"/>
      <c r="AZ66" s="134" t="s">
        <v>607</v>
      </c>
      <c r="BA66" s="36"/>
      <c r="BB66" s="134" t="s">
        <v>607</v>
      </c>
      <c r="BC66" s="36"/>
      <c r="BD66" s="23" t="s">
        <v>197</v>
      </c>
      <c r="BE66" s="36"/>
      <c r="BF66" s="23" t="s">
        <v>305</v>
      </c>
      <c r="BG66" s="36"/>
      <c r="BH66" s="23" t="s">
        <v>305</v>
      </c>
      <c r="BI66" s="36"/>
      <c r="BJ66" s="23" t="s">
        <v>269</v>
      </c>
      <c r="BK66" s="36"/>
      <c r="BL66" s="23" t="s">
        <v>269</v>
      </c>
      <c r="BM66" s="36"/>
      <c r="BN66" s="134" t="s">
        <v>441</v>
      </c>
      <c r="BO66" s="36"/>
      <c r="BP66" s="23" t="s">
        <v>269</v>
      </c>
      <c r="BQ66" s="36"/>
      <c r="BR66" s="23" t="s">
        <v>269</v>
      </c>
      <c r="BS66" s="36"/>
      <c r="BT66" s="23" t="s">
        <v>442</v>
      </c>
      <c r="BU66" s="23" t="s">
        <v>442</v>
      </c>
      <c r="BV66" s="36"/>
      <c r="BW66" s="23" t="s">
        <v>272</v>
      </c>
      <c r="BX66" s="36"/>
      <c r="BY66" s="23" t="s">
        <v>273</v>
      </c>
      <c r="BZ66" s="36"/>
      <c r="CA66" s="144" t="s">
        <v>197</v>
      </c>
      <c r="CB66" s="36"/>
      <c r="CC66" s="144" t="s">
        <v>197</v>
      </c>
      <c r="CD66" s="36"/>
      <c r="CE66" s="25" t="s">
        <v>324</v>
      </c>
      <c r="CF66" s="26"/>
      <c r="CG66" s="20" t="s">
        <v>274</v>
      </c>
      <c r="CH66" s="36"/>
      <c r="CI66" s="23" t="s">
        <v>151</v>
      </c>
      <c r="CJ66" s="36"/>
      <c r="CK66" s="23" t="s">
        <v>155</v>
      </c>
      <c r="CL66" s="23" t="s">
        <v>155</v>
      </c>
      <c r="CM66" s="36"/>
      <c r="CN66" s="23" t="s">
        <v>151</v>
      </c>
      <c r="CO66" s="36"/>
      <c r="CP66" s="23" t="s">
        <v>151</v>
      </c>
      <c r="CQ66" s="23"/>
      <c r="CR66" s="23" t="s">
        <v>263</v>
      </c>
      <c r="CS66" s="23"/>
      <c r="CT66" s="23" t="s">
        <v>263</v>
      </c>
      <c r="CU66" s="36"/>
      <c r="CV66" s="23" t="s">
        <v>263</v>
      </c>
      <c r="CW66" s="36"/>
      <c r="CX66" s="20" t="s">
        <v>209</v>
      </c>
      <c r="CY66" s="20" t="s">
        <v>209</v>
      </c>
      <c r="CZ66" s="36"/>
      <c r="DA66" s="23" t="s">
        <v>151</v>
      </c>
      <c r="DB66" s="36"/>
      <c r="DC66" s="20" t="s">
        <v>209</v>
      </c>
      <c r="DD66" s="36"/>
      <c r="DE66" s="23" t="s">
        <v>151</v>
      </c>
      <c r="DF66" s="36"/>
      <c r="DG66" s="23" t="s">
        <v>151</v>
      </c>
      <c r="DH66" s="36"/>
      <c r="DI66" s="23" t="s">
        <v>151</v>
      </c>
      <c r="DJ66" s="36"/>
      <c r="DK66" s="23" t="s">
        <v>157</v>
      </c>
      <c r="DL66" s="36"/>
      <c r="DM66" s="23" t="s">
        <v>151</v>
      </c>
      <c r="DN66" s="23" t="s">
        <v>151</v>
      </c>
      <c r="DO66" s="36"/>
      <c r="DP66" s="23" t="s">
        <v>151</v>
      </c>
      <c r="DQ66" s="36"/>
      <c r="DR66" s="19" t="s">
        <v>256</v>
      </c>
      <c r="DS66" s="36"/>
      <c r="DT66" s="36"/>
      <c r="DU66" s="36"/>
      <c r="DV66" s="23"/>
      <c r="DW66" s="36"/>
      <c r="DX66" s="111"/>
      <c r="DY66" s="36"/>
      <c r="DZ66" s="36"/>
      <c r="EA66" s="134" t="s">
        <v>267</v>
      </c>
      <c r="EB66" s="106" t="s">
        <v>123</v>
      </c>
      <c r="EC66" s="20" t="s">
        <v>276</v>
      </c>
      <c r="ED66" s="20" t="s">
        <v>325</v>
      </c>
      <c r="EE66" s="36"/>
      <c r="EF66" s="36"/>
      <c r="EG66" s="306" t="s">
        <v>610</v>
      </c>
      <c r="EH66" s="20" t="s">
        <v>326</v>
      </c>
      <c r="EI66" s="20" t="s">
        <v>498</v>
      </c>
      <c r="EJ66" s="25" t="s">
        <v>195</v>
      </c>
      <c r="EK66" s="191" t="s">
        <v>253</v>
      </c>
    </row>
    <row r="67" spans="3:141" s="15" customFormat="1" ht="38.25">
      <c r="C67" s="98"/>
      <c r="D67" s="98"/>
      <c r="E67" s="98"/>
      <c r="F67" s="99"/>
      <c r="G67" s="98"/>
      <c r="H67" s="99"/>
      <c r="I67" s="98"/>
      <c r="J67" s="17"/>
      <c r="L67" s="17"/>
      <c r="N67" s="17"/>
      <c r="P67" s="17"/>
      <c r="Q67" s="132"/>
      <c r="R67" s="17"/>
      <c r="S67" s="78"/>
      <c r="T67" s="78"/>
      <c r="U67" s="17"/>
      <c r="W67" s="17"/>
      <c r="Y67" s="17"/>
      <c r="Z67" s="132"/>
      <c r="AA67" s="17"/>
      <c r="AB67" s="17"/>
      <c r="AC67" s="132"/>
      <c r="AD67" s="132"/>
      <c r="AF67" s="17"/>
      <c r="AG67" s="132"/>
      <c r="AH67" s="132"/>
      <c r="AL67" s="133"/>
      <c r="AM67" s="17"/>
      <c r="AN67" s="133"/>
      <c r="AO67" s="17"/>
      <c r="AP67" s="133"/>
      <c r="AR67" s="17"/>
      <c r="AS67" s="17"/>
      <c r="AT67" s="17"/>
      <c r="AU67" s="17"/>
      <c r="AV67" s="133"/>
      <c r="AW67" s="17"/>
      <c r="AX67" s="195"/>
      <c r="AY67" s="17"/>
      <c r="AZ67" s="133"/>
      <c r="BA67" s="17"/>
      <c r="BB67" s="16"/>
      <c r="BC67" s="17"/>
      <c r="BD67" s="17"/>
      <c r="BE67" s="17"/>
      <c r="BF67" s="215" t="s">
        <v>304</v>
      </c>
      <c r="BG67" s="17"/>
      <c r="BH67" s="24"/>
      <c r="BI67" s="26"/>
      <c r="BJ67" s="24"/>
      <c r="BK67" s="26"/>
      <c r="BM67" s="17"/>
      <c r="BN67" s="17"/>
      <c r="BO67" s="17"/>
      <c r="BQ67" s="17"/>
      <c r="BS67" s="17"/>
      <c r="BT67" s="17"/>
      <c r="BU67" s="140"/>
      <c r="BV67" s="17"/>
      <c r="BX67" s="17"/>
      <c r="BZ67" s="17"/>
      <c r="CA67" s="78"/>
      <c r="CB67" s="17"/>
      <c r="CC67" s="78"/>
      <c r="CD67" s="17"/>
      <c r="CG67" s="14"/>
      <c r="CH67" s="17"/>
      <c r="CJ67" s="17"/>
      <c r="CM67" s="17"/>
      <c r="CO67" s="17"/>
      <c r="CU67" s="17"/>
      <c r="CV67" s="17"/>
      <c r="CW67" s="17"/>
      <c r="CZ67" s="17"/>
      <c r="DB67" s="17"/>
      <c r="DD67" s="17"/>
      <c r="DF67" s="17"/>
      <c r="DG67" s="12"/>
      <c r="DH67" s="17"/>
      <c r="DJ67" s="17"/>
      <c r="DL67" s="17"/>
      <c r="DO67" s="17"/>
      <c r="DQ67" s="17"/>
      <c r="DR67" s="17"/>
      <c r="DS67" s="17"/>
      <c r="DT67" s="17"/>
      <c r="DU67" s="17"/>
      <c r="DW67" s="17"/>
      <c r="DX67" s="108"/>
      <c r="DY67" s="17"/>
      <c r="DZ67" s="17"/>
      <c r="EA67" s="141" t="s">
        <v>181</v>
      </c>
      <c r="EB67" s="99"/>
      <c r="EE67" s="17"/>
      <c r="EF67" s="17"/>
      <c r="EJ67" s="17"/>
      <c r="EK67" s="184"/>
    </row>
    <row r="68" spans="1:140" ht="13.5" customHeight="1">
      <c r="A68" s="50"/>
      <c r="B68" s="50"/>
      <c r="C68" s="100"/>
      <c r="D68" s="100"/>
      <c r="E68" s="100"/>
      <c r="F68" s="101"/>
      <c r="G68" s="100"/>
      <c r="H68" s="101"/>
      <c r="I68" s="100"/>
      <c r="J68" s="49"/>
      <c r="K68" s="50"/>
      <c r="L68" s="49"/>
      <c r="M68" s="50"/>
      <c r="N68" s="49"/>
      <c r="O68" s="50"/>
      <c r="P68" s="49"/>
      <c r="Q68" s="50"/>
      <c r="S68" s="15"/>
      <c r="T68" s="15"/>
      <c r="AB68" s="49"/>
      <c r="AX68" s="192"/>
      <c r="BF68" s="8"/>
      <c r="CA68" s="15"/>
      <c r="CC68" s="15"/>
      <c r="DX68" s="108"/>
      <c r="EA68" s="26" t="s">
        <v>186</v>
      </c>
      <c r="EB68" s="97"/>
      <c r="EC68" s="9"/>
      <c r="ED68" s="9"/>
      <c r="EE68" s="16"/>
      <c r="EF68" s="16"/>
      <c r="EG68" s="50"/>
      <c r="EH68" s="9"/>
      <c r="EI68" s="9"/>
      <c r="EJ68" s="16"/>
    </row>
    <row r="69" spans="1:141" s="231" customFormat="1" ht="153">
      <c r="A69" s="226" t="s">
        <v>313</v>
      </c>
      <c r="B69" s="228" t="s">
        <v>474</v>
      </c>
      <c r="C69" s="227" t="s">
        <v>357</v>
      </c>
      <c r="D69" s="227"/>
      <c r="E69" s="227" t="s">
        <v>357</v>
      </c>
      <c r="F69" s="227"/>
      <c r="G69" s="227" t="s">
        <v>357</v>
      </c>
      <c r="H69" s="227"/>
      <c r="I69" s="227" t="s">
        <v>357</v>
      </c>
      <c r="J69" s="226"/>
      <c r="K69" s="228" t="s">
        <v>354</v>
      </c>
      <c r="L69" s="226"/>
      <c r="M69" s="228" t="s">
        <v>355</v>
      </c>
      <c r="N69" s="226"/>
      <c r="O69" s="228" t="s">
        <v>356</v>
      </c>
      <c r="P69" s="226"/>
      <c r="Q69" s="223" t="s">
        <v>358</v>
      </c>
      <c r="R69" s="226"/>
      <c r="S69" s="223" t="s">
        <v>343</v>
      </c>
      <c r="T69" s="223" t="s">
        <v>343</v>
      </c>
      <c r="U69" s="226"/>
      <c r="V69" s="223" t="s">
        <v>387</v>
      </c>
      <c r="W69" s="226"/>
      <c r="X69" s="223" t="s">
        <v>344</v>
      </c>
      <c r="Y69" s="226"/>
      <c r="Z69" s="223" t="s">
        <v>424</v>
      </c>
      <c r="AA69" s="226"/>
      <c r="AB69" s="226"/>
      <c r="AC69" s="223" t="s">
        <v>339</v>
      </c>
      <c r="AD69" s="223" t="s">
        <v>339</v>
      </c>
      <c r="AE69" s="223"/>
      <c r="AF69" s="226"/>
      <c r="AG69" s="223" t="s">
        <v>339</v>
      </c>
      <c r="AH69" s="223" t="s">
        <v>339</v>
      </c>
      <c r="AI69" s="226"/>
      <c r="AJ69" s="223" t="s">
        <v>339</v>
      </c>
      <c r="AK69" s="223" t="s">
        <v>339</v>
      </c>
      <c r="AL69" s="223" t="s">
        <v>339</v>
      </c>
      <c r="AM69" s="226"/>
      <c r="AN69" s="223" t="s">
        <v>339</v>
      </c>
      <c r="AO69" s="226"/>
      <c r="AP69" s="223" t="s">
        <v>339</v>
      </c>
      <c r="AQ69" s="226"/>
      <c r="AR69" s="223" t="s">
        <v>339</v>
      </c>
      <c r="AS69" s="226"/>
      <c r="AT69" s="223" t="s">
        <v>339</v>
      </c>
      <c r="AU69" s="226"/>
      <c r="AV69" s="223" t="s">
        <v>339</v>
      </c>
      <c r="AW69" s="226"/>
      <c r="AX69" s="223" t="s">
        <v>339</v>
      </c>
      <c r="AY69" s="226"/>
      <c r="AZ69" s="223" t="s">
        <v>339</v>
      </c>
      <c r="BA69" s="226"/>
      <c r="BB69" s="223" t="s">
        <v>339</v>
      </c>
      <c r="BC69" s="226"/>
      <c r="BD69" s="223" t="s">
        <v>359</v>
      </c>
      <c r="BE69" s="226"/>
      <c r="BF69" s="228" t="s">
        <v>360</v>
      </c>
      <c r="BG69" s="226"/>
      <c r="BH69" s="233" t="s">
        <v>361</v>
      </c>
      <c r="BI69" s="229"/>
      <c r="BJ69" s="233" t="s">
        <v>362</v>
      </c>
      <c r="BK69" s="229"/>
      <c r="BL69" s="223" t="s">
        <v>362</v>
      </c>
      <c r="BM69" s="226"/>
      <c r="BN69" s="223" t="s">
        <v>363</v>
      </c>
      <c r="BO69" s="226"/>
      <c r="BP69" s="223" t="s">
        <v>437</v>
      </c>
      <c r="BQ69" s="226"/>
      <c r="BR69" s="223" t="s">
        <v>440</v>
      </c>
      <c r="BS69" s="226"/>
      <c r="BT69" s="223" t="s">
        <v>365</v>
      </c>
      <c r="BU69" s="223" t="s">
        <v>365</v>
      </c>
      <c r="BV69" s="226"/>
      <c r="BW69" s="223" t="s">
        <v>366</v>
      </c>
      <c r="BX69" s="226"/>
      <c r="BY69" s="223" t="s">
        <v>386</v>
      </c>
      <c r="BZ69" s="226"/>
      <c r="CA69" s="223" t="s">
        <v>342</v>
      </c>
      <c r="CB69" s="226"/>
      <c r="CC69" s="223" t="s">
        <v>342</v>
      </c>
      <c r="CD69" s="226"/>
      <c r="CE69" s="223" t="s">
        <v>341</v>
      </c>
      <c r="CF69" s="226"/>
      <c r="CG69" s="224" t="s">
        <v>340</v>
      </c>
      <c r="CH69" s="226"/>
      <c r="CI69" s="232" t="s">
        <v>368</v>
      </c>
      <c r="CJ69" s="226"/>
      <c r="CK69" s="223" t="s">
        <v>367</v>
      </c>
      <c r="CL69" s="223" t="s">
        <v>367</v>
      </c>
      <c r="CM69" s="226"/>
      <c r="CN69" s="223" t="s">
        <v>369</v>
      </c>
      <c r="CO69" s="226"/>
      <c r="CP69" s="223" t="s">
        <v>370</v>
      </c>
      <c r="CQ69" s="226"/>
      <c r="CR69" s="223" t="s">
        <v>371</v>
      </c>
      <c r="CS69" s="226"/>
      <c r="CT69" s="223" t="s">
        <v>372</v>
      </c>
      <c r="CU69" s="226"/>
      <c r="CV69" s="223" t="s">
        <v>373</v>
      </c>
      <c r="CW69" s="226"/>
      <c r="CX69" s="223" t="s">
        <v>348</v>
      </c>
      <c r="CY69" s="223" t="s">
        <v>348</v>
      </c>
      <c r="CZ69" s="226"/>
      <c r="DA69" s="223" t="s">
        <v>349</v>
      </c>
      <c r="DB69" s="226"/>
      <c r="DC69" s="223" t="s">
        <v>350</v>
      </c>
      <c r="DD69" s="226"/>
      <c r="DE69" s="223" t="s">
        <v>349</v>
      </c>
      <c r="DF69" s="226"/>
      <c r="DG69" s="223" t="s">
        <v>353</v>
      </c>
      <c r="DH69" s="226"/>
      <c r="DI69" s="223" t="s">
        <v>353</v>
      </c>
      <c r="DJ69" s="226"/>
      <c r="DK69" s="223" t="s">
        <v>353</v>
      </c>
      <c r="DL69" s="226"/>
      <c r="DM69" s="223" t="s">
        <v>353</v>
      </c>
      <c r="DN69" s="223" t="s">
        <v>353</v>
      </c>
      <c r="DO69" s="226"/>
      <c r="DP69" s="223" t="s">
        <v>353</v>
      </c>
      <c r="DQ69" s="226"/>
      <c r="DR69" s="223" t="s">
        <v>351</v>
      </c>
      <c r="DS69" s="226"/>
      <c r="DT69" s="223" t="s">
        <v>476</v>
      </c>
      <c r="DU69" s="226"/>
      <c r="DV69" s="223" t="s">
        <v>492</v>
      </c>
      <c r="DW69" s="226"/>
      <c r="DX69" s="230"/>
      <c r="DY69" s="226"/>
      <c r="DZ69" s="226"/>
      <c r="EA69" s="223" t="s">
        <v>345</v>
      </c>
      <c r="EB69" s="225" t="s">
        <v>346</v>
      </c>
      <c r="EC69" s="245" t="s">
        <v>418</v>
      </c>
      <c r="ED69" s="245" t="s">
        <v>341</v>
      </c>
      <c r="EE69" s="232" t="s">
        <v>495</v>
      </c>
      <c r="EF69" s="232" t="s">
        <v>494</v>
      </c>
      <c r="EG69" s="228" t="s">
        <v>474</v>
      </c>
      <c r="EH69" s="223" t="s">
        <v>473</v>
      </c>
      <c r="EI69" s="223" t="s">
        <v>347</v>
      </c>
      <c r="EJ69" s="232" t="s">
        <v>352</v>
      </c>
      <c r="EK69" s="234" t="s">
        <v>374</v>
      </c>
    </row>
    <row r="70" spans="1:128" ht="12.75" hidden="1">
      <c r="A70" s="16"/>
      <c r="B70" s="16"/>
      <c r="C70" s="97"/>
      <c r="D70" s="97"/>
      <c r="E70" s="97"/>
      <c r="G70" s="97"/>
      <c r="I70" s="97"/>
      <c r="K70" s="16"/>
      <c r="M70" s="16"/>
      <c r="O70" s="16"/>
      <c r="Q70" s="16"/>
      <c r="S70" s="17"/>
      <c r="T70" s="17"/>
      <c r="V70" s="16"/>
      <c r="X70" s="16"/>
      <c r="Z70" s="16"/>
      <c r="AC70" s="16"/>
      <c r="AD70" s="16"/>
      <c r="AE70" s="16"/>
      <c r="AG70" s="16"/>
      <c r="AH70" s="16"/>
      <c r="AI70" s="16"/>
      <c r="AJ70" s="16"/>
      <c r="AK70" s="16"/>
      <c r="AQ70" s="16"/>
      <c r="BF70" s="16"/>
      <c r="BH70" s="25"/>
      <c r="BJ70" s="25"/>
      <c r="BL70" s="16"/>
      <c r="BP70" s="16"/>
      <c r="BR70" s="16"/>
      <c r="BW70" s="16"/>
      <c r="BY70" s="16"/>
      <c r="CA70" s="16"/>
      <c r="CC70" s="16"/>
      <c r="CG70" s="16"/>
      <c r="CI70" s="16"/>
      <c r="CK70" s="16"/>
      <c r="CL70" s="16"/>
      <c r="CN70" s="16"/>
      <c r="CP70" s="16"/>
      <c r="CQ70" s="16"/>
      <c r="CR70" s="16"/>
      <c r="CS70" s="16"/>
      <c r="CT70" s="16"/>
      <c r="CX70" s="16"/>
      <c r="CY70" s="16"/>
      <c r="DA70" s="16"/>
      <c r="DC70" s="16"/>
      <c r="DE70" s="16"/>
      <c r="DG70" s="16"/>
      <c r="DI70" s="16"/>
      <c r="DK70" s="16"/>
      <c r="DM70" s="16"/>
      <c r="DN70" s="16"/>
      <c r="DP70" s="16"/>
      <c r="DV70" s="16"/>
      <c r="DX70" s="108"/>
    </row>
    <row r="71" spans="1:131" ht="12.75" hidden="1">
      <c r="A71" s="16"/>
      <c r="B71" s="16"/>
      <c r="C71" s="97"/>
      <c r="D71" s="97"/>
      <c r="E71" s="97"/>
      <c r="G71" s="97"/>
      <c r="I71" s="97"/>
      <c r="K71" s="16"/>
      <c r="M71" s="16"/>
      <c r="O71" s="16"/>
      <c r="Q71" s="16"/>
      <c r="S71" s="17"/>
      <c r="T71" s="17"/>
      <c r="U71" s="17"/>
      <c r="V71" s="17"/>
      <c r="W71" s="17"/>
      <c r="X71" s="17"/>
      <c r="Y71" s="17"/>
      <c r="Z71" s="17"/>
      <c r="AA71" s="17"/>
      <c r="AC71" s="16"/>
      <c r="AD71" s="16"/>
      <c r="AE71" s="16"/>
      <c r="AG71" s="16"/>
      <c r="AH71" s="16"/>
      <c r="AI71" s="16"/>
      <c r="AJ71" s="16"/>
      <c r="AK71" s="16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33"/>
      <c r="BC71" s="17"/>
      <c r="BD71" s="17"/>
      <c r="BE71" s="17"/>
      <c r="BF71" s="17"/>
      <c r="BG71" s="17"/>
      <c r="BH71" s="26"/>
      <c r="BI71" s="26"/>
      <c r="BJ71" s="26"/>
      <c r="BK71" s="26"/>
      <c r="BL71" s="17"/>
      <c r="BM71" s="17"/>
      <c r="BN71" s="17"/>
      <c r="BO71" s="17"/>
      <c r="BP71" s="16"/>
      <c r="BR71" s="16"/>
      <c r="BW71" s="16"/>
      <c r="BY71" s="16"/>
      <c r="CA71" s="16"/>
      <c r="CC71" s="16"/>
      <c r="CG71" s="17"/>
      <c r="CI71" s="17"/>
      <c r="CJ71" s="17"/>
      <c r="CK71" s="17"/>
      <c r="CL71" s="17"/>
      <c r="CM71" s="17"/>
      <c r="CN71" s="17"/>
      <c r="CO71" s="17"/>
      <c r="CP71" s="17"/>
      <c r="CQ71" s="17"/>
      <c r="CR71" s="17"/>
      <c r="CS71" s="17"/>
      <c r="CT71" s="17"/>
      <c r="CU71" s="17"/>
      <c r="CV71" s="17"/>
      <c r="CW71" s="17"/>
      <c r="CX71" s="17"/>
      <c r="CY71" s="17"/>
      <c r="CZ71" s="17"/>
      <c r="DA71" s="17"/>
      <c r="DB71" s="17"/>
      <c r="DC71" s="17"/>
      <c r="DD71" s="17"/>
      <c r="DE71" s="17"/>
      <c r="DF71" s="17"/>
      <c r="DG71" s="17"/>
      <c r="DH71" s="17"/>
      <c r="DI71" s="17"/>
      <c r="DJ71" s="17"/>
      <c r="DK71" s="17"/>
      <c r="DL71" s="17"/>
      <c r="DM71" s="17"/>
      <c r="DN71" s="17"/>
      <c r="DO71" s="17"/>
      <c r="DP71" s="17"/>
      <c r="DQ71" s="17"/>
      <c r="DR71" s="17"/>
      <c r="DS71" s="17"/>
      <c r="DT71" s="17"/>
      <c r="DU71" s="17"/>
      <c r="DV71" s="17"/>
      <c r="DW71" s="17"/>
      <c r="DX71" s="108"/>
      <c r="EA71" s="133"/>
    </row>
    <row r="72" spans="1:127" ht="12.75" hidden="1">
      <c r="A72" s="16"/>
      <c r="B72" s="16"/>
      <c r="C72" s="97"/>
      <c r="D72" s="97"/>
      <c r="E72" s="97"/>
      <c r="G72" s="97"/>
      <c r="I72" s="97"/>
      <c r="K72" s="16"/>
      <c r="M72" s="16"/>
      <c r="O72" s="16"/>
      <c r="Q72" s="16"/>
      <c r="S72" s="16"/>
      <c r="T72" s="16"/>
      <c r="V72" s="18"/>
      <c r="W72" s="18"/>
      <c r="X72" s="18"/>
      <c r="Y72" s="18"/>
      <c r="Z72" s="18"/>
      <c r="AA72" s="18"/>
      <c r="AC72" s="16"/>
      <c r="AD72" s="16"/>
      <c r="AE72" s="16"/>
      <c r="AG72" s="58"/>
      <c r="AH72" s="16"/>
      <c r="AI72" s="16"/>
      <c r="AJ72" s="16"/>
      <c r="AK72" s="16"/>
      <c r="AQ72" s="16"/>
      <c r="BF72" s="16"/>
      <c r="BH72" s="25"/>
      <c r="BJ72" s="25"/>
      <c r="BL72" s="16"/>
      <c r="BP72" s="16"/>
      <c r="BR72" s="16"/>
      <c r="BW72" s="16"/>
      <c r="BY72" s="16"/>
      <c r="CA72" s="16"/>
      <c r="CC72" s="16"/>
      <c r="CG72" s="18"/>
      <c r="CI72" s="18"/>
      <c r="CJ72" s="18"/>
      <c r="CK72" s="18"/>
      <c r="CL72" s="18"/>
      <c r="CM72" s="18"/>
      <c r="CN72" s="18"/>
      <c r="CO72" s="18"/>
      <c r="CP72" s="18"/>
      <c r="CQ72" s="18"/>
      <c r="CR72" s="18"/>
      <c r="CS72" s="18"/>
      <c r="CT72" s="18"/>
      <c r="CU72" s="18"/>
      <c r="CV72" s="18"/>
      <c r="CW72" s="18"/>
      <c r="CX72" s="18"/>
      <c r="CY72" s="18"/>
      <c r="CZ72" s="18"/>
      <c r="DA72" s="18"/>
      <c r="DB72" s="18"/>
      <c r="DC72" s="18"/>
      <c r="DD72" s="18"/>
      <c r="DE72" s="18"/>
      <c r="DF72" s="18"/>
      <c r="DG72" s="18"/>
      <c r="DH72" s="18"/>
      <c r="DI72" s="18"/>
      <c r="DJ72" s="18"/>
      <c r="DK72" s="18"/>
      <c r="DL72" s="18"/>
      <c r="DM72" s="18"/>
      <c r="DN72" s="18"/>
      <c r="DO72" s="18"/>
      <c r="DP72" s="18"/>
      <c r="DQ72" s="18"/>
      <c r="DR72" s="18"/>
      <c r="DS72" s="18"/>
      <c r="DT72" s="18"/>
      <c r="DU72" s="18"/>
      <c r="DV72" s="18"/>
      <c r="DW72" s="18"/>
    </row>
    <row r="73" spans="1:127" ht="12.75">
      <c r="A73" s="16"/>
      <c r="B73" s="16"/>
      <c r="C73" s="97"/>
      <c r="D73" s="97"/>
      <c r="E73" s="97"/>
      <c r="G73" s="97"/>
      <c r="I73" s="97"/>
      <c r="K73" s="16"/>
      <c r="M73" s="16"/>
      <c r="O73" s="16"/>
      <c r="Q73" s="16"/>
      <c r="S73" s="16"/>
      <c r="T73" s="16"/>
      <c r="V73" s="18"/>
      <c r="W73" s="18"/>
      <c r="X73" s="18"/>
      <c r="Y73" s="18"/>
      <c r="Z73" s="18"/>
      <c r="AA73" s="18"/>
      <c r="AC73" s="16"/>
      <c r="AD73" s="16"/>
      <c r="AE73" s="16"/>
      <c r="AG73" s="16"/>
      <c r="AH73" s="16"/>
      <c r="AI73" s="16"/>
      <c r="AJ73" s="16"/>
      <c r="AK73" s="32"/>
      <c r="AL73" s="32"/>
      <c r="AQ73" s="16"/>
      <c r="BF73" s="16"/>
      <c r="BH73" s="25"/>
      <c r="BJ73" s="25"/>
      <c r="BL73" s="16"/>
      <c r="BP73" s="16"/>
      <c r="BR73" s="16"/>
      <c r="BW73" s="16"/>
      <c r="BY73" s="16"/>
      <c r="CA73" s="16"/>
      <c r="CC73" s="16"/>
      <c r="CG73" s="18"/>
      <c r="CI73" s="18"/>
      <c r="CJ73" s="18"/>
      <c r="CK73" s="18"/>
      <c r="CL73" s="18"/>
      <c r="CM73" s="18"/>
      <c r="CN73" s="18"/>
      <c r="CO73" s="18"/>
      <c r="CP73" s="18"/>
      <c r="CQ73" s="18"/>
      <c r="CR73" s="18"/>
      <c r="CS73" s="18"/>
      <c r="CT73" s="18"/>
      <c r="CU73" s="18"/>
      <c r="CV73" s="18"/>
      <c r="CW73" s="18"/>
      <c r="CX73" s="18"/>
      <c r="CY73" s="18"/>
      <c r="CZ73" s="18"/>
      <c r="DA73" s="18"/>
      <c r="DB73" s="18"/>
      <c r="DC73" s="18"/>
      <c r="DD73" s="18"/>
      <c r="DE73" s="18"/>
      <c r="DF73" s="18"/>
      <c r="DG73" s="18"/>
      <c r="DH73" s="18"/>
      <c r="DI73" s="18"/>
      <c r="DJ73" s="18"/>
      <c r="DK73" s="18"/>
      <c r="DL73" s="18"/>
      <c r="DM73" s="18"/>
      <c r="DN73" s="18"/>
      <c r="DO73" s="18"/>
      <c r="DP73" s="18"/>
      <c r="DQ73" s="18"/>
      <c r="DR73" s="18"/>
      <c r="DS73" s="18"/>
      <c r="DT73" s="18"/>
      <c r="DU73" s="18"/>
      <c r="DV73" s="18"/>
      <c r="DW73" s="18"/>
    </row>
    <row r="74" spans="1:141" s="231" customFormat="1" ht="140.25">
      <c r="A74" s="226" t="s">
        <v>314</v>
      </c>
      <c r="B74" s="223" t="s">
        <v>388</v>
      </c>
      <c r="C74" s="240" t="s">
        <v>388</v>
      </c>
      <c r="D74" s="235"/>
      <c r="E74" s="240" t="s">
        <v>389</v>
      </c>
      <c r="F74" s="235"/>
      <c r="G74" s="240" t="s">
        <v>390</v>
      </c>
      <c r="H74" s="235"/>
      <c r="I74" s="240" t="s">
        <v>455</v>
      </c>
      <c r="J74" s="226"/>
      <c r="K74" s="223" t="s">
        <v>391</v>
      </c>
      <c r="L74" s="226"/>
      <c r="M74" s="223" t="s">
        <v>393</v>
      </c>
      <c r="N74" s="226"/>
      <c r="O74" s="223" t="s">
        <v>392</v>
      </c>
      <c r="P74" s="226"/>
      <c r="Q74" s="223" t="s">
        <v>394</v>
      </c>
      <c r="R74" s="226"/>
      <c r="S74" s="223" t="s">
        <v>420</v>
      </c>
      <c r="T74" s="223" t="s">
        <v>420</v>
      </c>
      <c r="U74" s="226"/>
      <c r="V74" s="246" t="s">
        <v>421</v>
      </c>
      <c r="W74" s="236"/>
      <c r="X74" s="246" t="s">
        <v>422</v>
      </c>
      <c r="Y74" s="236"/>
      <c r="Z74" s="246" t="s">
        <v>423</v>
      </c>
      <c r="AA74" s="236"/>
      <c r="AB74" s="226"/>
      <c r="AC74" s="223" t="s">
        <v>395</v>
      </c>
      <c r="AD74" s="223" t="s">
        <v>395</v>
      </c>
      <c r="AE74" s="226"/>
      <c r="AF74" s="226"/>
      <c r="AG74" s="223" t="s">
        <v>395</v>
      </c>
      <c r="AH74" s="223" t="s">
        <v>395</v>
      </c>
      <c r="AI74" s="226"/>
      <c r="AJ74" s="223" t="s">
        <v>395</v>
      </c>
      <c r="AK74" s="223" t="s">
        <v>395</v>
      </c>
      <c r="AL74" s="223" t="s">
        <v>395</v>
      </c>
      <c r="AM74" s="226"/>
      <c r="AN74" s="223" t="s">
        <v>395</v>
      </c>
      <c r="AO74" s="226"/>
      <c r="AP74" s="223" t="s">
        <v>395</v>
      </c>
      <c r="AQ74" s="226"/>
      <c r="AR74" s="223" t="s">
        <v>395</v>
      </c>
      <c r="AS74" s="226"/>
      <c r="AT74" s="223" t="s">
        <v>395</v>
      </c>
      <c r="AU74" s="226"/>
      <c r="AV74" s="223" t="s">
        <v>395</v>
      </c>
      <c r="AW74" s="226"/>
      <c r="AX74" s="223" t="s">
        <v>395</v>
      </c>
      <c r="AY74" s="226"/>
      <c r="AZ74" s="223" t="s">
        <v>395</v>
      </c>
      <c r="BA74" s="226"/>
      <c r="BB74" s="223" t="s">
        <v>395</v>
      </c>
      <c r="BC74" s="226"/>
      <c r="BD74" s="223" t="s">
        <v>396</v>
      </c>
      <c r="BE74" s="226"/>
      <c r="BF74" s="223" t="s">
        <v>398</v>
      </c>
      <c r="BG74" s="226"/>
      <c r="BH74" s="233" t="s">
        <v>397</v>
      </c>
      <c r="BI74" s="229"/>
      <c r="BJ74" s="233" t="s">
        <v>399</v>
      </c>
      <c r="BK74" s="229"/>
      <c r="BL74" s="223" t="s">
        <v>399</v>
      </c>
      <c r="BM74" s="226"/>
      <c r="BN74" s="223" t="s">
        <v>400</v>
      </c>
      <c r="BO74" s="226"/>
      <c r="BP74" s="223" t="s">
        <v>437</v>
      </c>
      <c r="BQ74" s="226"/>
      <c r="BR74" s="223" t="s">
        <v>364</v>
      </c>
      <c r="BS74" s="226"/>
      <c r="BT74" s="223" t="s">
        <v>413</v>
      </c>
      <c r="BU74" s="223" t="s">
        <v>413</v>
      </c>
      <c r="BV74" s="226"/>
      <c r="BW74" s="223" t="s">
        <v>414</v>
      </c>
      <c r="BX74" s="226"/>
      <c r="BY74" s="223" t="s">
        <v>415</v>
      </c>
      <c r="BZ74" s="226"/>
      <c r="CA74" s="223" t="s">
        <v>416</v>
      </c>
      <c r="CB74" s="226"/>
      <c r="CC74" s="223" t="s">
        <v>416</v>
      </c>
      <c r="CD74" s="226"/>
      <c r="CE74" s="223" t="s">
        <v>417</v>
      </c>
      <c r="CF74" s="226"/>
      <c r="CG74" s="246" t="s">
        <v>419</v>
      </c>
      <c r="CH74" s="226"/>
      <c r="CI74" s="246" t="s">
        <v>425</v>
      </c>
      <c r="CJ74" s="236"/>
      <c r="CK74" s="246" t="s">
        <v>426</v>
      </c>
      <c r="CL74" s="246" t="s">
        <v>426</v>
      </c>
      <c r="CM74" s="236"/>
      <c r="CN74" s="246" t="s">
        <v>427</v>
      </c>
      <c r="CO74" s="236"/>
      <c r="CP74" s="246" t="s">
        <v>428</v>
      </c>
      <c r="CQ74" s="236"/>
      <c r="CR74" s="246" t="s">
        <v>451</v>
      </c>
      <c r="CS74" s="236"/>
      <c r="CT74" s="246" t="s">
        <v>449</v>
      </c>
      <c r="CU74" s="236"/>
      <c r="CV74" s="246" t="s">
        <v>450</v>
      </c>
      <c r="CW74" s="236"/>
      <c r="CX74" s="246" t="s">
        <v>458</v>
      </c>
      <c r="CY74" s="246" t="s">
        <v>458</v>
      </c>
      <c r="CZ74" s="236"/>
      <c r="DA74" s="246" t="s">
        <v>458</v>
      </c>
      <c r="DB74" s="236"/>
      <c r="DC74" s="246" t="s">
        <v>459</v>
      </c>
      <c r="DD74" s="236"/>
      <c r="DE74" s="246" t="s">
        <v>458</v>
      </c>
      <c r="DF74" s="236"/>
      <c r="DG74" s="246" t="s">
        <v>497</v>
      </c>
      <c r="DH74" s="236"/>
      <c r="DI74" s="246" t="s">
        <v>471</v>
      </c>
      <c r="DJ74" s="236"/>
      <c r="DK74" s="246" t="s">
        <v>470</v>
      </c>
      <c r="DL74" s="236"/>
      <c r="DM74" s="246" t="s">
        <v>471</v>
      </c>
      <c r="DN74" s="246" t="s">
        <v>471</v>
      </c>
      <c r="DO74" s="236"/>
      <c r="DP74" s="246" t="s">
        <v>471</v>
      </c>
      <c r="DQ74" s="236"/>
      <c r="DR74" s="246" t="s">
        <v>475</v>
      </c>
      <c r="DS74" s="236"/>
      <c r="DT74" s="246" t="s">
        <v>477</v>
      </c>
      <c r="DU74" s="236"/>
      <c r="DV74" s="246" t="s">
        <v>493</v>
      </c>
      <c r="DW74" s="236"/>
      <c r="DX74" s="237"/>
      <c r="DY74" s="226"/>
      <c r="DZ74" s="226"/>
      <c r="EA74" s="223" t="s">
        <v>395</v>
      </c>
      <c r="EB74" s="244" t="s">
        <v>417</v>
      </c>
      <c r="EC74" s="223" t="s">
        <v>417</v>
      </c>
      <c r="ED74" s="223" t="s">
        <v>417</v>
      </c>
      <c r="EE74" s="232" t="s">
        <v>493</v>
      </c>
      <c r="EF74" s="232" t="s">
        <v>493</v>
      </c>
      <c r="EG74" s="223" t="s">
        <v>388</v>
      </c>
      <c r="EH74" s="223" t="s">
        <v>389</v>
      </c>
      <c r="EI74" s="223" t="s">
        <v>497</v>
      </c>
      <c r="EJ74" s="232" t="s">
        <v>431</v>
      </c>
      <c r="EK74" s="234" t="s">
        <v>469</v>
      </c>
    </row>
    <row r="75" spans="1:141" s="231" customFormat="1" ht="15" customHeight="1">
      <c r="A75" s="226"/>
      <c r="B75" s="226"/>
      <c r="C75" s="235"/>
      <c r="D75" s="235"/>
      <c r="E75" s="235"/>
      <c r="F75" s="235"/>
      <c r="G75" s="235"/>
      <c r="H75" s="235"/>
      <c r="I75" s="235"/>
      <c r="J75" s="226"/>
      <c r="K75" s="226"/>
      <c r="L75" s="226"/>
      <c r="M75" s="226"/>
      <c r="N75" s="226"/>
      <c r="O75" s="226"/>
      <c r="P75" s="226"/>
      <c r="Q75" s="226"/>
      <c r="R75" s="226"/>
      <c r="S75" s="226"/>
      <c r="T75" s="226"/>
      <c r="U75" s="226"/>
      <c r="V75" s="236"/>
      <c r="W75" s="236"/>
      <c r="X75" s="236"/>
      <c r="Y75" s="236"/>
      <c r="Z75" s="236"/>
      <c r="AA75" s="236"/>
      <c r="AB75" s="226"/>
      <c r="AC75" s="226"/>
      <c r="AD75" s="226"/>
      <c r="AE75" s="226"/>
      <c r="AF75" s="226"/>
      <c r="AG75" s="226"/>
      <c r="AH75" s="226"/>
      <c r="AI75" s="226"/>
      <c r="AJ75" s="226"/>
      <c r="AK75" s="226"/>
      <c r="AL75" s="226"/>
      <c r="AM75" s="226"/>
      <c r="AN75" s="226"/>
      <c r="AO75" s="226"/>
      <c r="AP75" s="226"/>
      <c r="AQ75" s="226"/>
      <c r="AR75" s="226"/>
      <c r="AS75" s="226"/>
      <c r="AT75" s="226"/>
      <c r="AU75" s="226"/>
      <c r="AV75" s="226"/>
      <c r="AW75" s="226"/>
      <c r="AX75" s="226"/>
      <c r="AY75" s="226"/>
      <c r="AZ75" s="226"/>
      <c r="BA75" s="226"/>
      <c r="BB75" s="226"/>
      <c r="BC75" s="226"/>
      <c r="BD75" s="226"/>
      <c r="BE75" s="226"/>
      <c r="BF75" s="226"/>
      <c r="BG75" s="226"/>
      <c r="BH75" s="229"/>
      <c r="BI75" s="229"/>
      <c r="BJ75" s="229"/>
      <c r="BK75" s="229"/>
      <c r="BL75" s="226"/>
      <c r="BM75" s="226"/>
      <c r="BN75" s="226"/>
      <c r="BO75" s="226"/>
      <c r="BP75" s="226"/>
      <c r="BQ75" s="226"/>
      <c r="BR75" s="226"/>
      <c r="BS75" s="226"/>
      <c r="BT75" s="226"/>
      <c r="BU75" s="226"/>
      <c r="BV75" s="226"/>
      <c r="BW75" s="226"/>
      <c r="BX75" s="226"/>
      <c r="BY75" s="226"/>
      <c r="BZ75" s="226"/>
      <c r="CA75" s="226"/>
      <c r="CB75" s="226"/>
      <c r="CC75" s="226"/>
      <c r="CD75" s="226"/>
      <c r="CE75" s="226"/>
      <c r="CF75" s="226"/>
      <c r="CG75" s="246"/>
      <c r="CH75" s="226"/>
      <c r="CI75" s="236"/>
      <c r="CJ75" s="236"/>
      <c r="CK75" s="236"/>
      <c r="CL75" s="236"/>
      <c r="CM75" s="236"/>
      <c r="CN75" s="236"/>
      <c r="CO75" s="236"/>
      <c r="CP75" s="236"/>
      <c r="CQ75" s="236"/>
      <c r="CR75" s="236"/>
      <c r="CS75" s="236"/>
      <c r="CT75" s="236"/>
      <c r="CU75" s="236"/>
      <c r="CV75" s="236"/>
      <c r="CW75" s="236"/>
      <c r="CX75" s="236"/>
      <c r="CY75" s="236"/>
      <c r="CZ75" s="236"/>
      <c r="DA75" s="236"/>
      <c r="DB75" s="236"/>
      <c r="DC75" s="236"/>
      <c r="DD75" s="236"/>
      <c r="DE75" s="236"/>
      <c r="DF75" s="236"/>
      <c r="DG75" s="246"/>
      <c r="DH75" s="236"/>
      <c r="DI75" s="246" t="s">
        <v>472</v>
      </c>
      <c r="DJ75" s="236"/>
      <c r="DK75" s="246" t="s">
        <v>472</v>
      </c>
      <c r="DL75" s="236"/>
      <c r="DM75" s="246" t="s">
        <v>472</v>
      </c>
      <c r="DN75" s="246" t="s">
        <v>472</v>
      </c>
      <c r="DO75" s="236"/>
      <c r="DP75" s="246" t="s">
        <v>472</v>
      </c>
      <c r="DQ75" s="236"/>
      <c r="DR75" s="236"/>
      <c r="DS75" s="236"/>
      <c r="DT75" s="236"/>
      <c r="DU75" s="236"/>
      <c r="DV75" s="236"/>
      <c r="DW75" s="236"/>
      <c r="DX75" s="237"/>
      <c r="DY75" s="226"/>
      <c r="DZ75" s="226"/>
      <c r="EA75" s="226"/>
      <c r="EB75" s="238"/>
      <c r="EC75" s="226"/>
      <c r="ED75" s="226"/>
      <c r="EG75" s="226"/>
      <c r="EH75" s="226"/>
      <c r="EI75" s="226"/>
      <c r="EK75" s="239"/>
    </row>
    <row r="76" spans="1:127" ht="12.75">
      <c r="A76" s="226"/>
      <c r="B76" s="16"/>
      <c r="C76" s="97"/>
      <c r="D76" s="97"/>
      <c r="E76" s="97"/>
      <c r="G76" s="97"/>
      <c r="I76" s="97"/>
      <c r="K76" s="16"/>
      <c r="M76" s="16"/>
      <c r="O76" s="16"/>
      <c r="Q76" s="16"/>
      <c r="S76" s="16"/>
      <c r="T76" s="16"/>
      <c r="V76" s="18"/>
      <c r="W76" s="18"/>
      <c r="X76" s="18"/>
      <c r="Y76" s="18"/>
      <c r="Z76" s="18"/>
      <c r="AA76" s="18"/>
      <c r="AC76" s="16"/>
      <c r="AD76" s="16"/>
      <c r="AE76" s="16"/>
      <c r="AG76" s="16"/>
      <c r="AH76" s="16"/>
      <c r="AI76" s="16"/>
      <c r="AJ76" s="16"/>
      <c r="AK76" s="16"/>
      <c r="AQ76" s="16"/>
      <c r="BF76" s="16"/>
      <c r="BH76" s="25"/>
      <c r="BJ76" s="25"/>
      <c r="BL76" s="16"/>
      <c r="BP76" s="16"/>
      <c r="BR76" s="16"/>
      <c r="BW76" s="16"/>
      <c r="BY76" s="16"/>
      <c r="CA76" s="16"/>
      <c r="CC76" s="16"/>
      <c r="CG76" s="18"/>
      <c r="CI76" s="18"/>
      <c r="CJ76" s="18"/>
      <c r="CK76" s="18"/>
      <c r="CL76" s="18"/>
      <c r="CM76" s="18"/>
      <c r="CN76" s="18"/>
      <c r="CO76" s="18"/>
      <c r="CP76" s="18"/>
      <c r="CQ76" s="18"/>
      <c r="CR76" s="18"/>
      <c r="CS76" s="18"/>
      <c r="CT76" s="18"/>
      <c r="CU76" s="18"/>
      <c r="CV76" s="18"/>
      <c r="CW76" s="18"/>
      <c r="CX76" s="18"/>
      <c r="CY76" s="18"/>
      <c r="CZ76" s="18"/>
      <c r="DA76" s="18"/>
      <c r="DB76" s="18"/>
      <c r="DC76" s="18"/>
      <c r="DD76" s="18"/>
      <c r="DE76" s="18"/>
      <c r="DF76" s="18"/>
      <c r="DG76" s="255"/>
      <c r="DH76" s="18"/>
      <c r="DI76" s="255"/>
      <c r="DJ76" s="18"/>
      <c r="DK76" s="255"/>
      <c r="DL76" s="18"/>
      <c r="DM76" s="255"/>
      <c r="DN76" s="255"/>
      <c r="DO76" s="18"/>
      <c r="DP76" s="255"/>
      <c r="DQ76" s="18"/>
      <c r="DR76" s="18"/>
      <c r="DS76" s="18"/>
      <c r="DT76" s="18"/>
      <c r="DU76" s="18"/>
      <c r="DV76" s="18"/>
      <c r="DW76" s="18"/>
    </row>
    <row r="77" spans="1:141" s="231" customFormat="1" ht="114.75">
      <c r="A77" s="226" t="s">
        <v>555</v>
      </c>
      <c r="B77" s="273"/>
      <c r="C77" s="240"/>
      <c r="D77" s="235"/>
      <c r="E77" s="235"/>
      <c r="F77" s="235"/>
      <c r="G77" s="235"/>
      <c r="H77" s="235"/>
      <c r="I77" s="235"/>
      <c r="J77" s="226"/>
      <c r="K77" s="223" t="s">
        <v>619</v>
      </c>
      <c r="L77" s="226"/>
      <c r="M77" s="223" t="s">
        <v>619</v>
      </c>
      <c r="N77" s="226"/>
      <c r="O77" s="223" t="s">
        <v>619</v>
      </c>
      <c r="P77" s="226"/>
      <c r="Q77" s="226"/>
      <c r="R77" s="226"/>
      <c r="S77" s="226"/>
      <c r="T77" s="226"/>
      <c r="U77" s="226"/>
      <c r="V77" s="246" t="s">
        <v>554</v>
      </c>
      <c r="W77" s="236"/>
      <c r="X77" s="236"/>
      <c r="Y77" s="236"/>
      <c r="Z77" s="236"/>
      <c r="AA77" s="236"/>
      <c r="AB77" s="226"/>
      <c r="AC77" s="226"/>
      <c r="AD77" s="226"/>
      <c r="AE77" s="226"/>
      <c r="AF77" s="226"/>
      <c r="AG77" s="226"/>
      <c r="AH77" s="226"/>
      <c r="AI77" s="226"/>
      <c r="AJ77" s="226"/>
      <c r="AK77" s="226"/>
      <c r="AL77" s="226"/>
      <c r="AM77" s="226"/>
      <c r="AN77" s="226"/>
      <c r="AO77" s="226"/>
      <c r="AP77" s="226"/>
      <c r="AQ77" s="226"/>
      <c r="AR77" s="223" t="s">
        <v>507</v>
      </c>
      <c r="AS77" s="226"/>
      <c r="AT77" s="226"/>
      <c r="AU77" s="226"/>
      <c r="AV77" s="226"/>
      <c r="AW77" s="226"/>
      <c r="AX77" s="226"/>
      <c r="AY77" s="226"/>
      <c r="AZ77" s="226"/>
      <c r="BA77" s="226"/>
      <c r="BB77" s="226"/>
      <c r="BC77" s="226"/>
      <c r="BD77" s="223" t="s">
        <v>614</v>
      </c>
      <c r="BE77" s="226"/>
      <c r="BF77" s="223" t="s">
        <v>613</v>
      </c>
      <c r="BG77" s="226"/>
      <c r="BH77" s="229"/>
      <c r="BI77" s="229"/>
      <c r="BJ77" s="229"/>
      <c r="BK77" s="229"/>
      <c r="BL77" s="223" t="s">
        <v>514</v>
      </c>
      <c r="BM77" s="226"/>
      <c r="BN77" s="226"/>
      <c r="BO77" s="226"/>
      <c r="BP77" s="226"/>
      <c r="BQ77" s="226"/>
      <c r="BR77" s="226"/>
      <c r="BS77" s="226"/>
      <c r="BT77" s="226"/>
      <c r="BU77" s="226"/>
      <c r="BV77" s="226"/>
      <c r="BW77" s="226"/>
      <c r="BX77" s="226"/>
      <c r="BY77" s="226"/>
      <c r="BZ77" s="226"/>
      <c r="CA77" s="223" t="s">
        <v>537</v>
      </c>
      <c r="CB77" s="226"/>
      <c r="CC77" s="223" t="s">
        <v>537</v>
      </c>
      <c r="CD77" s="226"/>
      <c r="CE77" s="226"/>
      <c r="CF77" s="226"/>
      <c r="CG77" s="259" t="s">
        <v>536</v>
      </c>
      <c r="CH77" s="226"/>
      <c r="CI77" s="236"/>
      <c r="CJ77" s="236"/>
      <c r="CK77" s="236"/>
      <c r="CL77" s="236"/>
      <c r="CM77" s="236"/>
      <c r="CN77" s="246" t="s">
        <v>522</v>
      </c>
      <c r="CO77" s="236"/>
      <c r="CP77" s="236"/>
      <c r="CQ77" s="236"/>
      <c r="CR77" s="236"/>
      <c r="CS77" s="236"/>
      <c r="CT77" s="236"/>
      <c r="CU77" s="236"/>
      <c r="CV77" s="236"/>
      <c r="CW77" s="236"/>
      <c r="CX77" s="246" t="s">
        <v>531</v>
      </c>
      <c r="CY77" s="246" t="s">
        <v>531</v>
      </c>
      <c r="CZ77" s="236"/>
      <c r="DA77" s="236"/>
      <c r="DB77" s="236"/>
      <c r="DC77" s="236"/>
      <c r="DD77" s="236"/>
      <c r="DE77" s="236"/>
      <c r="DF77" s="236"/>
      <c r="DG77" s="236"/>
      <c r="DH77" s="236"/>
      <c r="DI77" s="246" t="s">
        <v>534</v>
      </c>
      <c r="DJ77" s="236"/>
      <c r="DK77" s="246" t="s">
        <v>534</v>
      </c>
      <c r="DL77" s="236"/>
      <c r="DM77" s="246" t="s">
        <v>534</v>
      </c>
      <c r="DN77" s="246" t="s">
        <v>534</v>
      </c>
      <c r="DO77" s="236"/>
      <c r="DP77" s="246" t="s">
        <v>534</v>
      </c>
      <c r="DQ77" s="236"/>
      <c r="DR77" s="236"/>
      <c r="DS77" s="236"/>
      <c r="DT77" s="236"/>
      <c r="DU77" s="236"/>
      <c r="DV77" s="236"/>
      <c r="DW77" s="236"/>
      <c r="DX77" s="237"/>
      <c r="DY77" s="226"/>
      <c r="DZ77" s="226"/>
      <c r="EA77" s="226"/>
      <c r="EB77" s="238"/>
      <c r="EC77" s="226"/>
      <c r="ED77" s="226"/>
      <c r="EG77" s="273"/>
      <c r="EH77" s="226"/>
      <c r="EI77" s="226"/>
      <c r="EK77" s="239"/>
    </row>
    <row r="78" spans="1:141" s="231" customFormat="1" ht="12.75" customHeight="1">
      <c r="A78" s="226"/>
      <c r="B78" s="265"/>
      <c r="C78" s="235"/>
      <c r="D78" s="235"/>
      <c r="E78" s="235"/>
      <c r="F78" s="235"/>
      <c r="G78" s="235"/>
      <c r="H78" s="235"/>
      <c r="I78" s="235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36"/>
      <c r="W78" s="236"/>
      <c r="X78" s="236"/>
      <c r="Y78" s="236"/>
      <c r="Z78" s="236"/>
      <c r="AA78" s="236"/>
      <c r="AB78" s="226"/>
      <c r="AC78" s="226"/>
      <c r="AD78" s="226"/>
      <c r="AE78" s="226"/>
      <c r="AF78" s="226"/>
      <c r="AG78" s="226"/>
      <c r="AH78" s="226"/>
      <c r="AI78" s="226"/>
      <c r="AJ78" s="226"/>
      <c r="AK78" s="226"/>
      <c r="AL78" s="226"/>
      <c r="AM78" s="226"/>
      <c r="AN78" s="226"/>
      <c r="AO78" s="226"/>
      <c r="AP78" s="226"/>
      <c r="AQ78" s="226"/>
      <c r="AR78" s="223"/>
      <c r="AS78" s="226"/>
      <c r="AT78" s="226"/>
      <c r="AU78" s="226"/>
      <c r="AV78" s="226"/>
      <c r="AW78" s="226"/>
      <c r="AX78" s="226"/>
      <c r="AY78" s="226"/>
      <c r="AZ78" s="226"/>
      <c r="BA78" s="226"/>
      <c r="BB78" s="226"/>
      <c r="BC78" s="226"/>
      <c r="BD78" s="226"/>
      <c r="BE78" s="226"/>
      <c r="BF78" s="226"/>
      <c r="BG78" s="226"/>
      <c r="BH78" s="229"/>
      <c r="BI78" s="229"/>
      <c r="BJ78" s="229"/>
      <c r="BK78" s="229"/>
      <c r="BL78" s="226"/>
      <c r="BM78" s="226"/>
      <c r="BN78" s="226"/>
      <c r="BO78" s="226"/>
      <c r="BP78" s="226"/>
      <c r="BQ78" s="226"/>
      <c r="BR78" s="226"/>
      <c r="BS78" s="226"/>
      <c r="BT78" s="226"/>
      <c r="BU78" s="226"/>
      <c r="BV78" s="226"/>
      <c r="BW78" s="226"/>
      <c r="BX78" s="226"/>
      <c r="BY78" s="226"/>
      <c r="BZ78" s="226"/>
      <c r="CA78" s="226"/>
      <c r="CB78" s="226"/>
      <c r="CC78" s="226"/>
      <c r="CD78" s="226"/>
      <c r="CE78" s="226"/>
      <c r="CF78" s="226"/>
      <c r="CG78" s="236"/>
      <c r="CH78" s="226"/>
      <c r="CI78" s="236"/>
      <c r="CJ78" s="236"/>
      <c r="CK78" s="236"/>
      <c r="CL78" s="236"/>
      <c r="CM78" s="236"/>
      <c r="CN78" s="236"/>
      <c r="CO78" s="236"/>
      <c r="CP78" s="236"/>
      <c r="CQ78" s="236"/>
      <c r="CR78" s="236"/>
      <c r="CS78" s="236"/>
      <c r="CT78" s="236"/>
      <c r="CU78" s="236"/>
      <c r="CV78" s="236"/>
      <c r="CW78" s="236"/>
      <c r="CX78" s="236"/>
      <c r="CY78" s="236"/>
      <c r="CZ78" s="236"/>
      <c r="DA78" s="236"/>
      <c r="DB78" s="236"/>
      <c r="DC78" s="236"/>
      <c r="DD78" s="236"/>
      <c r="DE78" s="236"/>
      <c r="DF78" s="236"/>
      <c r="DG78" s="236"/>
      <c r="DH78" s="236"/>
      <c r="DI78" s="236"/>
      <c r="DJ78" s="236"/>
      <c r="DK78" s="236"/>
      <c r="DL78" s="236"/>
      <c r="DM78" s="236"/>
      <c r="DN78" s="236"/>
      <c r="DO78" s="236"/>
      <c r="DP78" s="236"/>
      <c r="DQ78" s="236"/>
      <c r="DR78" s="236"/>
      <c r="DS78" s="236"/>
      <c r="DT78" s="236"/>
      <c r="DU78" s="236"/>
      <c r="DV78" s="236"/>
      <c r="DW78" s="236"/>
      <c r="DX78" s="237"/>
      <c r="DY78" s="226"/>
      <c r="DZ78" s="226"/>
      <c r="EA78" s="226"/>
      <c r="EB78" s="238"/>
      <c r="EC78" s="226"/>
      <c r="ED78" s="226"/>
      <c r="EG78" s="226"/>
      <c r="EH78" s="226"/>
      <c r="EI78" s="226"/>
      <c r="EK78" s="239"/>
    </row>
    <row r="79" spans="1:141" s="231" customFormat="1" ht="63.75" hidden="1">
      <c r="A79" s="226"/>
      <c r="B79" s="273"/>
      <c r="C79" s="240"/>
      <c r="D79" s="235"/>
      <c r="E79" s="235"/>
      <c r="F79" s="235"/>
      <c r="G79" s="235"/>
      <c r="H79" s="235"/>
      <c r="I79" s="235"/>
      <c r="J79" s="226"/>
      <c r="K79" s="226"/>
      <c r="L79" s="226"/>
      <c r="M79" s="226"/>
      <c r="N79" s="226"/>
      <c r="O79" s="226"/>
      <c r="P79" s="226"/>
      <c r="Q79" s="226"/>
      <c r="R79" s="226"/>
      <c r="S79" s="226"/>
      <c r="T79" s="226"/>
      <c r="U79" s="226"/>
      <c r="V79" s="236"/>
      <c r="W79" s="236"/>
      <c r="X79" s="236"/>
      <c r="Y79" s="236"/>
      <c r="Z79" s="236"/>
      <c r="AA79" s="236"/>
      <c r="AB79" s="226"/>
      <c r="AC79" s="226"/>
      <c r="AD79" s="226"/>
      <c r="AE79" s="226"/>
      <c r="AF79" s="226"/>
      <c r="AG79" s="226"/>
      <c r="AH79" s="226"/>
      <c r="AI79" s="226"/>
      <c r="AJ79" s="226"/>
      <c r="AK79" s="226"/>
      <c r="AL79" s="226"/>
      <c r="AM79" s="226"/>
      <c r="AN79" s="226"/>
      <c r="AO79" s="226"/>
      <c r="AP79" s="226"/>
      <c r="AQ79" s="226"/>
      <c r="AR79" s="223" t="s">
        <v>508</v>
      </c>
      <c r="AS79" s="226"/>
      <c r="AT79" s="226"/>
      <c r="AU79" s="226"/>
      <c r="AV79" s="226"/>
      <c r="AW79" s="226"/>
      <c r="AX79" s="226"/>
      <c r="AY79" s="226"/>
      <c r="AZ79" s="226"/>
      <c r="BA79" s="226"/>
      <c r="BB79" s="226"/>
      <c r="BC79" s="226"/>
      <c r="BD79" s="226"/>
      <c r="BE79" s="226"/>
      <c r="BF79" s="226"/>
      <c r="BG79" s="226"/>
      <c r="BH79" s="229"/>
      <c r="BI79" s="229"/>
      <c r="BJ79" s="229"/>
      <c r="BK79" s="229"/>
      <c r="BL79" s="223"/>
      <c r="BM79" s="226"/>
      <c r="BN79" s="226"/>
      <c r="BO79" s="226"/>
      <c r="BP79" s="226"/>
      <c r="BQ79" s="226"/>
      <c r="BR79" s="226"/>
      <c r="BS79" s="226"/>
      <c r="BT79" s="226"/>
      <c r="BU79" s="226"/>
      <c r="BV79" s="226"/>
      <c r="BW79" s="226"/>
      <c r="BX79" s="226"/>
      <c r="BY79" s="226"/>
      <c r="BZ79" s="226"/>
      <c r="CA79" s="223" t="s">
        <v>538</v>
      </c>
      <c r="CB79" s="226"/>
      <c r="CC79" s="223" t="s">
        <v>538</v>
      </c>
      <c r="CD79" s="226"/>
      <c r="CE79" s="226"/>
      <c r="CF79" s="226"/>
      <c r="CG79" s="236"/>
      <c r="CH79" s="226"/>
      <c r="CI79" s="236"/>
      <c r="CJ79" s="236"/>
      <c r="CK79" s="236"/>
      <c r="CL79" s="236"/>
      <c r="CM79" s="236"/>
      <c r="CN79" s="246"/>
      <c r="CO79" s="236"/>
      <c r="CP79" s="236"/>
      <c r="CQ79" s="236"/>
      <c r="CR79" s="236"/>
      <c r="CS79" s="236"/>
      <c r="CT79" s="236"/>
      <c r="CU79" s="236"/>
      <c r="CV79" s="236"/>
      <c r="CW79" s="236"/>
      <c r="CX79" s="236"/>
      <c r="CY79" s="236"/>
      <c r="CZ79" s="236"/>
      <c r="DA79" s="236"/>
      <c r="DB79" s="236"/>
      <c r="DC79" s="236"/>
      <c r="DD79" s="236"/>
      <c r="DE79" s="236"/>
      <c r="DF79" s="236"/>
      <c r="DG79" s="236"/>
      <c r="DH79" s="236"/>
      <c r="DI79" s="236"/>
      <c r="DJ79" s="236"/>
      <c r="DK79" s="236"/>
      <c r="DL79" s="236"/>
      <c r="DO79" s="236"/>
      <c r="DP79" s="236"/>
      <c r="DQ79" s="236"/>
      <c r="DR79" s="236"/>
      <c r="DS79" s="236"/>
      <c r="DT79" s="236"/>
      <c r="DU79" s="236"/>
      <c r="DV79" s="236"/>
      <c r="DW79" s="236"/>
      <c r="DX79" s="237"/>
      <c r="DY79" s="226"/>
      <c r="DZ79" s="226"/>
      <c r="EA79" s="226"/>
      <c r="EB79" s="238"/>
      <c r="EC79" s="226"/>
      <c r="ED79" s="226"/>
      <c r="EG79" s="226"/>
      <c r="EH79" s="226"/>
      <c r="EI79" s="226"/>
      <c r="EK79" s="239"/>
    </row>
    <row r="80" spans="1:141" s="231" customFormat="1" ht="12.75">
      <c r="A80" s="226"/>
      <c r="B80" s="226"/>
      <c r="C80" s="235"/>
      <c r="D80" s="235"/>
      <c r="E80" s="235"/>
      <c r="F80" s="235"/>
      <c r="G80" s="235"/>
      <c r="H80" s="235"/>
      <c r="I80" s="235"/>
      <c r="J80" s="226"/>
      <c r="K80" s="226"/>
      <c r="L80" s="226"/>
      <c r="M80" s="226"/>
      <c r="N80" s="226"/>
      <c r="O80" s="226"/>
      <c r="P80" s="226"/>
      <c r="Q80" s="226"/>
      <c r="R80" s="226"/>
      <c r="S80" s="226"/>
      <c r="T80" s="226"/>
      <c r="U80" s="226"/>
      <c r="V80" s="236"/>
      <c r="W80" s="236"/>
      <c r="X80" s="236"/>
      <c r="Y80" s="236"/>
      <c r="Z80" s="236"/>
      <c r="AA80" s="236"/>
      <c r="AB80" s="226"/>
      <c r="AC80" s="226"/>
      <c r="AD80" s="226"/>
      <c r="AE80" s="226"/>
      <c r="AF80" s="226"/>
      <c r="AG80" s="226"/>
      <c r="AH80" s="226"/>
      <c r="AI80" s="226"/>
      <c r="AJ80" s="226"/>
      <c r="AK80" s="226"/>
      <c r="AL80" s="226"/>
      <c r="AM80" s="226"/>
      <c r="AN80" s="226"/>
      <c r="AO80" s="226"/>
      <c r="AP80" s="226"/>
      <c r="AQ80" s="226"/>
      <c r="AR80" s="226"/>
      <c r="AS80" s="226"/>
      <c r="AT80" s="226"/>
      <c r="AU80" s="226"/>
      <c r="AV80" s="226"/>
      <c r="AW80" s="226"/>
      <c r="AX80" s="226"/>
      <c r="AY80" s="226"/>
      <c r="AZ80" s="226"/>
      <c r="BA80" s="226"/>
      <c r="BB80" s="226"/>
      <c r="BC80" s="226"/>
      <c r="BD80" s="226"/>
      <c r="BE80" s="226"/>
      <c r="BF80" s="226"/>
      <c r="BG80" s="226"/>
      <c r="BH80" s="229"/>
      <c r="BI80" s="229"/>
      <c r="BJ80" s="229"/>
      <c r="BK80" s="229"/>
      <c r="BL80" s="226"/>
      <c r="BM80" s="226"/>
      <c r="BN80" s="226"/>
      <c r="BO80" s="226"/>
      <c r="BP80" s="226"/>
      <c r="BQ80" s="226"/>
      <c r="BR80" s="226"/>
      <c r="BS80" s="226"/>
      <c r="BT80" s="226"/>
      <c r="BU80" s="226"/>
      <c r="BV80" s="226"/>
      <c r="BW80" s="226"/>
      <c r="BX80" s="226"/>
      <c r="BY80" s="226"/>
      <c r="BZ80" s="226"/>
      <c r="CA80" s="226"/>
      <c r="CB80" s="226"/>
      <c r="CC80" s="226"/>
      <c r="CD80" s="226"/>
      <c r="CE80" s="226"/>
      <c r="CF80" s="226"/>
      <c r="CG80" s="236"/>
      <c r="CH80" s="226"/>
      <c r="CI80" s="236"/>
      <c r="CJ80" s="236"/>
      <c r="CK80" s="236"/>
      <c r="CL80" s="236"/>
      <c r="CM80" s="236"/>
      <c r="CN80" s="236"/>
      <c r="CO80" s="236"/>
      <c r="CP80" s="236"/>
      <c r="CQ80" s="236"/>
      <c r="CR80" s="236"/>
      <c r="CS80" s="236"/>
      <c r="CT80" s="236"/>
      <c r="CU80" s="236"/>
      <c r="CV80" s="236"/>
      <c r="CW80" s="236"/>
      <c r="CX80" s="236"/>
      <c r="CY80" s="236"/>
      <c r="CZ80" s="236"/>
      <c r="DA80" s="236"/>
      <c r="DB80" s="236"/>
      <c r="DC80" s="236"/>
      <c r="DD80" s="236"/>
      <c r="DE80" s="236"/>
      <c r="DF80" s="236"/>
      <c r="DG80" s="236"/>
      <c r="DH80" s="236"/>
      <c r="DI80" s="236"/>
      <c r="DJ80" s="236"/>
      <c r="DK80" s="236"/>
      <c r="DL80" s="236"/>
      <c r="DM80" s="236"/>
      <c r="DN80" s="236"/>
      <c r="DO80" s="236"/>
      <c r="DP80" s="236"/>
      <c r="DQ80" s="236"/>
      <c r="DR80" s="236"/>
      <c r="DS80" s="236"/>
      <c r="DT80" s="236"/>
      <c r="DU80" s="236"/>
      <c r="DV80" s="236"/>
      <c r="DW80" s="236"/>
      <c r="DX80" s="237"/>
      <c r="DY80" s="226"/>
      <c r="DZ80" s="226"/>
      <c r="EA80" s="226"/>
      <c r="EB80" s="238"/>
      <c r="EC80" s="226"/>
      <c r="ED80" s="226"/>
      <c r="EG80" s="226"/>
      <c r="EH80" s="226"/>
      <c r="EI80" s="226"/>
      <c r="EK80" s="239"/>
    </row>
    <row r="81" spans="1:141" s="231" customFormat="1" ht="89.25">
      <c r="A81" s="226" t="s">
        <v>556</v>
      </c>
      <c r="B81" s="223"/>
      <c r="C81" s="240"/>
      <c r="D81" s="235"/>
      <c r="E81" s="235"/>
      <c r="F81" s="235"/>
      <c r="G81" s="235"/>
      <c r="H81" s="235"/>
      <c r="I81" s="235"/>
      <c r="J81" s="226"/>
      <c r="K81" s="226"/>
      <c r="L81" s="226"/>
      <c r="M81" s="226"/>
      <c r="N81" s="226"/>
      <c r="O81" s="226"/>
      <c r="P81" s="226"/>
      <c r="Q81" s="226"/>
      <c r="R81" s="226"/>
      <c r="S81" s="226"/>
      <c r="T81" s="226"/>
      <c r="U81" s="226"/>
      <c r="V81" s="236"/>
      <c r="W81" s="236"/>
      <c r="X81" s="236"/>
      <c r="Y81" s="236"/>
      <c r="Z81" s="236"/>
      <c r="AA81" s="236"/>
      <c r="AB81" s="226"/>
      <c r="AC81" s="223" t="s">
        <v>509</v>
      </c>
      <c r="AD81" s="223" t="s">
        <v>509</v>
      </c>
      <c r="AE81" s="226"/>
      <c r="AF81" s="226"/>
      <c r="AG81" s="223" t="s">
        <v>509</v>
      </c>
      <c r="AH81" s="226"/>
      <c r="AI81" s="226"/>
      <c r="AJ81" s="226"/>
      <c r="AK81" s="226"/>
      <c r="AL81" s="226"/>
      <c r="AM81" s="226"/>
      <c r="AN81" s="223" t="s">
        <v>509</v>
      </c>
      <c r="AO81" s="226"/>
      <c r="AP81" s="223" t="s">
        <v>509</v>
      </c>
      <c r="AQ81" s="226"/>
      <c r="AR81" s="223" t="s">
        <v>511</v>
      </c>
      <c r="AS81" s="226"/>
      <c r="AT81" s="223" t="s">
        <v>510</v>
      </c>
      <c r="AU81" s="226"/>
      <c r="AV81" s="223" t="s">
        <v>510</v>
      </c>
      <c r="AW81" s="226"/>
      <c r="AX81" s="223" t="s">
        <v>510</v>
      </c>
      <c r="AY81" s="226"/>
      <c r="AZ81" s="223" t="s">
        <v>510</v>
      </c>
      <c r="BA81" s="226"/>
      <c r="BB81" s="223" t="s">
        <v>509</v>
      </c>
      <c r="BC81" s="226"/>
      <c r="BD81" s="226"/>
      <c r="BE81" s="226"/>
      <c r="BF81" s="226"/>
      <c r="BG81" s="226"/>
      <c r="BH81" s="229"/>
      <c r="BI81" s="229"/>
      <c r="BJ81" s="229"/>
      <c r="BK81" s="229"/>
      <c r="BL81" s="226"/>
      <c r="BM81" s="226"/>
      <c r="BN81" s="226"/>
      <c r="BO81" s="226"/>
      <c r="BP81" s="226"/>
      <c r="BQ81" s="226"/>
      <c r="BR81" s="226"/>
      <c r="BS81" s="226"/>
      <c r="BT81" s="226"/>
      <c r="BU81" s="226"/>
      <c r="BV81" s="226"/>
      <c r="BW81" s="226"/>
      <c r="BX81" s="226"/>
      <c r="BY81" s="226"/>
      <c r="BZ81" s="226"/>
      <c r="CA81" s="226"/>
      <c r="CB81" s="226"/>
      <c r="CC81" s="226"/>
      <c r="CD81" s="226"/>
      <c r="CE81" s="226"/>
      <c r="CF81" s="226"/>
      <c r="CG81" s="246"/>
      <c r="CH81" s="226"/>
      <c r="CI81" s="236"/>
      <c r="CJ81" s="236"/>
      <c r="CK81" s="236"/>
      <c r="CL81" s="236"/>
      <c r="CM81" s="236"/>
      <c r="CN81" s="236" t="s">
        <v>579</v>
      </c>
      <c r="CO81" s="236"/>
      <c r="CP81" s="236"/>
      <c r="CQ81" s="236"/>
      <c r="CR81" s="236"/>
      <c r="CS81" s="236"/>
      <c r="CT81" s="236"/>
      <c r="CU81" s="236"/>
      <c r="CV81" s="236"/>
      <c r="CW81" s="236"/>
      <c r="CX81" s="236"/>
      <c r="CY81" s="236"/>
      <c r="CZ81" s="236"/>
      <c r="DA81" s="236"/>
      <c r="DB81" s="236"/>
      <c r="DC81" s="236"/>
      <c r="DD81" s="236"/>
      <c r="DE81" s="236"/>
      <c r="DF81" s="236"/>
      <c r="DG81" s="236"/>
      <c r="DH81" s="236"/>
      <c r="DI81" s="246" t="s">
        <v>546</v>
      </c>
      <c r="DJ81" s="236"/>
      <c r="DK81" s="246" t="s">
        <v>546</v>
      </c>
      <c r="DL81" s="236"/>
      <c r="DM81" s="236"/>
      <c r="DN81" s="236"/>
      <c r="DO81" s="236"/>
      <c r="DP81" s="246" t="s">
        <v>546</v>
      </c>
      <c r="DQ81" s="236"/>
      <c r="DR81" s="236"/>
      <c r="DS81" s="236"/>
      <c r="DT81" s="236"/>
      <c r="DU81" s="236"/>
      <c r="DV81" s="236"/>
      <c r="DW81" s="236"/>
      <c r="DX81" s="237"/>
      <c r="DY81" s="226"/>
      <c r="DZ81" s="226"/>
      <c r="EA81" s="226"/>
      <c r="EB81" s="238"/>
      <c r="EC81" s="226"/>
      <c r="ED81" s="226"/>
      <c r="EG81" s="226"/>
      <c r="EH81" s="226"/>
      <c r="EI81" s="226"/>
      <c r="EK81" s="239"/>
    </row>
    <row r="82" spans="1:127" ht="12.75" hidden="1">
      <c r="A82" s="226"/>
      <c r="B82" s="16"/>
      <c r="C82" s="97"/>
      <c r="D82" s="97"/>
      <c r="E82" s="97"/>
      <c r="G82" s="97"/>
      <c r="I82" s="97"/>
      <c r="K82" s="16"/>
      <c r="M82" s="16"/>
      <c r="O82" s="16"/>
      <c r="Q82" s="16"/>
      <c r="S82" s="16"/>
      <c r="T82" s="16"/>
      <c r="V82" s="18"/>
      <c r="W82" s="18"/>
      <c r="X82" s="18"/>
      <c r="Y82" s="18"/>
      <c r="Z82" s="18"/>
      <c r="AA82" s="18"/>
      <c r="AC82" s="16"/>
      <c r="AD82" s="16"/>
      <c r="AE82" s="16"/>
      <c r="AG82" s="16"/>
      <c r="AH82" s="16"/>
      <c r="AI82" s="16"/>
      <c r="AJ82" s="16"/>
      <c r="AK82" s="16"/>
      <c r="AQ82" s="16"/>
      <c r="BF82" s="16"/>
      <c r="BH82" s="25"/>
      <c r="BJ82" s="25"/>
      <c r="BL82" s="16"/>
      <c r="BP82" s="16"/>
      <c r="BR82" s="16"/>
      <c r="BW82" s="16"/>
      <c r="BY82" s="16"/>
      <c r="CA82" s="16"/>
      <c r="CC82" s="16"/>
      <c r="CG82" s="18"/>
      <c r="CI82" s="18"/>
      <c r="CJ82" s="18"/>
      <c r="CK82" s="18"/>
      <c r="CL82" s="18"/>
      <c r="CM82" s="18"/>
      <c r="CN82" s="18"/>
      <c r="CO82" s="18"/>
      <c r="CP82" s="18"/>
      <c r="CQ82" s="18"/>
      <c r="CR82" s="18"/>
      <c r="CS82" s="18"/>
      <c r="CT82" s="18"/>
      <c r="CU82" s="18"/>
      <c r="CV82" s="18"/>
      <c r="CW82" s="18"/>
      <c r="CX82" s="18"/>
      <c r="CY82" s="18"/>
      <c r="CZ82" s="18"/>
      <c r="DA82" s="18"/>
      <c r="DB82" s="18"/>
      <c r="DC82" s="18"/>
      <c r="DD82" s="18"/>
      <c r="DE82" s="18"/>
      <c r="DF82" s="18"/>
      <c r="DG82" s="18"/>
      <c r="DH82" s="18"/>
      <c r="DI82" s="18"/>
      <c r="DJ82" s="18"/>
      <c r="DK82" s="18"/>
      <c r="DL82" s="18"/>
      <c r="DM82" s="18"/>
      <c r="DN82" s="18"/>
      <c r="DO82" s="18"/>
      <c r="DP82" s="18"/>
      <c r="DQ82" s="18"/>
      <c r="DR82" s="18"/>
      <c r="DS82" s="18"/>
      <c r="DT82" s="18"/>
      <c r="DU82" s="18"/>
      <c r="DV82" s="18"/>
      <c r="DW82" s="18"/>
    </row>
    <row r="83" spans="1:127" ht="12.75" hidden="1">
      <c r="A83" s="226"/>
      <c r="B83" s="16"/>
      <c r="C83" s="97"/>
      <c r="D83" s="97"/>
      <c r="E83" s="97"/>
      <c r="G83" s="97"/>
      <c r="I83" s="97"/>
      <c r="K83" s="16"/>
      <c r="M83" s="16"/>
      <c r="O83" s="16"/>
      <c r="Q83" s="16"/>
      <c r="S83" s="16"/>
      <c r="T83" s="16"/>
      <c r="V83" s="18"/>
      <c r="W83" s="18"/>
      <c r="X83" s="18"/>
      <c r="Y83" s="18"/>
      <c r="Z83" s="18"/>
      <c r="AA83" s="18"/>
      <c r="AC83" s="16"/>
      <c r="AD83" s="16"/>
      <c r="AE83" s="16"/>
      <c r="AG83" s="16"/>
      <c r="AH83" s="16"/>
      <c r="AI83" s="16"/>
      <c r="AJ83" s="16"/>
      <c r="AK83" s="16"/>
      <c r="AQ83" s="16"/>
      <c r="BF83" s="16"/>
      <c r="BH83" s="25"/>
      <c r="BJ83" s="25"/>
      <c r="BL83" s="16"/>
      <c r="BP83" s="16"/>
      <c r="BR83" s="16"/>
      <c r="BW83" s="16"/>
      <c r="BY83" s="16"/>
      <c r="CA83" s="16"/>
      <c r="CC83" s="16"/>
      <c r="CG83" s="18"/>
      <c r="CI83" s="18"/>
      <c r="CJ83" s="18"/>
      <c r="CK83" s="18"/>
      <c r="CL83" s="18"/>
      <c r="CM83" s="18"/>
      <c r="CN83" s="18"/>
      <c r="CO83" s="18"/>
      <c r="CP83" s="18"/>
      <c r="CQ83" s="18"/>
      <c r="CR83" s="18"/>
      <c r="CS83" s="18"/>
      <c r="CT83" s="18"/>
      <c r="CU83" s="18"/>
      <c r="CV83" s="18"/>
      <c r="CW83" s="18"/>
      <c r="CX83" s="18"/>
      <c r="CY83" s="18"/>
      <c r="CZ83" s="18"/>
      <c r="DA83" s="18"/>
      <c r="DB83" s="18"/>
      <c r="DC83" s="18"/>
      <c r="DD83" s="18"/>
      <c r="DE83" s="18"/>
      <c r="DF83" s="18"/>
      <c r="DG83" s="18"/>
      <c r="DH83" s="18"/>
      <c r="DI83" s="18"/>
      <c r="DJ83" s="18"/>
      <c r="DK83" s="18"/>
      <c r="DL83" s="18"/>
      <c r="DM83" s="18"/>
      <c r="DN83" s="18"/>
      <c r="DO83" s="18"/>
      <c r="DP83" s="18"/>
      <c r="DQ83" s="18"/>
      <c r="DR83" s="18"/>
      <c r="DS83" s="18"/>
      <c r="DT83" s="18"/>
      <c r="DU83" s="18"/>
      <c r="DV83" s="18"/>
      <c r="DW83" s="18"/>
    </row>
    <row r="84" spans="1:127" ht="12.75">
      <c r="A84" s="15" t="s">
        <v>68</v>
      </c>
      <c r="B84" s="16"/>
      <c r="C84" s="97"/>
      <c r="D84" s="97"/>
      <c r="E84" s="97"/>
      <c r="G84" s="97"/>
      <c r="I84" s="97"/>
      <c r="K84" s="16"/>
      <c r="M84" s="16"/>
      <c r="O84" s="16"/>
      <c r="Q84" s="16"/>
      <c r="S84" s="16"/>
      <c r="T84" s="16"/>
      <c r="V84" s="18"/>
      <c r="W84" s="18"/>
      <c r="X84" s="18"/>
      <c r="Y84" s="18"/>
      <c r="Z84" s="18"/>
      <c r="AA84" s="18"/>
      <c r="AC84" s="16"/>
      <c r="AD84" s="16"/>
      <c r="AE84" s="16"/>
      <c r="AG84" s="16"/>
      <c r="AH84" s="16"/>
      <c r="AI84" s="16"/>
      <c r="AJ84" s="16"/>
      <c r="AK84" s="16"/>
      <c r="AQ84" s="16"/>
      <c r="BF84" s="16"/>
      <c r="BH84" s="25"/>
      <c r="BJ84" s="25"/>
      <c r="BL84" s="16"/>
      <c r="BP84" s="16"/>
      <c r="BR84" s="16"/>
      <c r="BW84" s="16"/>
      <c r="BY84" s="16"/>
      <c r="CA84" s="16"/>
      <c r="CC84" s="16"/>
      <c r="CG84" s="18"/>
      <c r="CI84" s="18"/>
      <c r="CJ84" s="18"/>
      <c r="CK84" s="18"/>
      <c r="CL84" s="18"/>
      <c r="CM84" s="18"/>
      <c r="CN84" s="18"/>
      <c r="CO84" s="18"/>
      <c r="CP84" s="18"/>
      <c r="CQ84" s="18"/>
      <c r="CR84" s="18"/>
      <c r="CS84" s="18"/>
      <c r="CT84" s="18"/>
      <c r="CU84" s="18"/>
      <c r="CV84" s="18"/>
      <c r="CW84" s="18"/>
      <c r="CX84" s="18"/>
      <c r="CY84" s="18"/>
      <c r="CZ84" s="18"/>
      <c r="DA84" s="18"/>
      <c r="DB84" s="18"/>
      <c r="DC84" s="18"/>
      <c r="DD84" s="18"/>
      <c r="DE84" s="18"/>
      <c r="DF84" s="18"/>
      <c r="DG84" s="18"/>
      <c r="DH84" s="18"/>
      <c r="DI84" s="18"/>
      <c r="DJ84" s="18"/>
      <c r="DK84" s="18"/>
      <c r="DL84" s="18"/>
      <c r="DM84" s="18"/>
      <c r="DN84" s="18"/>
      <c r="DO84" s="18"/>
      <c r="DP84" s="18"/>
      <c r="DQ84" s="18"/>
      <c r="DR84" s="18"/>
      <c r="DS84" s="18"/>
      <c r="DT84" s="18"/>
      <c r="DU84" s="18"/>
      <c r="DV84" s="18"/>
      <c r="DW84" s="18"/>
    </row>
    <row r="85" spans="1:127" ht="12.75">
      <c r="A85" s="16"/>
      <c r="B85" s="16"/>
      <c r="C85" s="97"/>
      <c r="D85" s="97"/>
      <c r="E85" s="97"/>
      <c r="G85" s="97"/>
      <c r="I85" s="97"/>
      <c r="K85" s="16"/>
      <c r="M85" s="16"/>
      <c r="O85" s="16"/>
      <c r="Q85" s="16"/>
      <c r="S85" s="16"/>
      <c r="T85" s="16"/>
      <c r="V85" s="18"/>
      <c r="W85" s="18"/>
      <c r="X85" s="18"/>
      <c r="Y85" s="18"/>
      <c r="Z85" s="18"/>
      <c r="AA85" s="18"/>
      <c r="AC85" s="16"/>
      <c r="AD85" s="16"/>
      <c r="AE85" s="16"/>
      <c r="AG85" s="16"/>
      <c r="AH85" s="16"/>
      <c r="AI85" s="16"/>
      <c r="AJ85" s="16"/>
      <c r="AK85" s="16"/>
      <c r="AQ85" s="16"/>
      <c r="BF85" s="16"/>
      <c r="BH85" s="25"/>
      <c r="BJ85" s="25"/>
      <c r="BL85" s="16"/>
      <c r="BP85" s="16"/>
      <c r="BR85" s="16"/>
      <c r="BW85" s="16"/>
      <c r="BY85" s="16"/>
      <c r="CA85" s="16"/>
      <c r="CC85" s="16"/>
      <c r="CG85" s="18"/>
      <c r="CI85" s="18"/>
      <c r="CJ85" s="18"/>
      <c r="CK85" s="18"/>
      <c r="CL85" s="18"/>
      <c r="CM85" s="18"/>
      <c r="CN85" s="18"/>
      <c r="CO85" s="18"/>
      <c r="CP85" s="18"/>
      <c r="CQ85" s="18"/>
      <c r="CR85" s="18"/>
      <c r="CS85" s="18"/>
      <c r="CT85" s="18"/>
      <c r="CU85" s="18"/>
      <c r="CV85" s="18"/>
      <c r="CW85" s="18"/>
      <c r="CX85" s="18"/>
      <c r="CY85" s="18"/>
      <c r="CZ85" s="18"/>
      <c r="DA85" s="18"/>
      <c r="DB85" s="18"/>
      <c r="DC85" s="18"/>
      <c r="DD85" s="18"/>
      <c r="DE85" s="18"/>
      <c r="DF85" s="18"/>
      <c r="DG85" s="18"/>
      <c r="DH85" s="18"/>
      <c r="DI85" s="18"/>
      <c r="DJ85" s="18"/>
      <c r="DK85" s="18"/>
      <c r="DL85" s="18"/>
      <c r="DM85" s="18"/>
      <c r="DN85" s="18"/>
      <c r="DO85" s="18"/>
      <c r="DP85" s="18"/>
      <c r="DQ85" s="18"/>
      <c r="DR85" s="18"/>
      <c r="DS85" s="18"/>
      <c r="DT85" s="18"/>
      <c r="DU85" s="18"/>
      <c r="DV85" s="18"/>
      <c r="DW85" s="18"/>
    </row>
    <row r="86" spans="1:127" ht="12.75">
      <c r="A86" s="16"/>
      <c r="B86" s="16"/>
      <c r="C86" s="97"/>
      <c r="D86" s="97"/>
      <c r="E86" s="97"/>
      <c r="G86" s="97"/>
      <c r="I86" s="97"/>
      <c r="K86" s="16"/>
      <c r="M86" s="16"/>
      <c r="O86" s="16"/>
      <c r="Q86" s="16"/>
      <c r="S86" s="16"/>
      <c r="T86" s="16"/>
      <c r="V86" s="18"/>
      <c r="W86" s="18"/>
      <c r="X86" s="18"/>
      <c r="Y86" s="18"/>
      <c r="Z86" s="18"/>
      <c r="AA86" s="18"/>
      <c r="AC86" s="16"/>
      <c r="AD86" s="16"/>
      <c r="AE86" s="16"/>
      <c r="AG86" s="16"/>
      <c r="AH86" s="16"/>
      <c r="AI86" s="16"/>
      <c r="AJ86" s="16"/>
      <c r="AK86" s="16"/>
      <c r="AQ86" s="16"/>
      <c r="BF86" s="16"/>
      <c r="BH86" s="25"/>
      <c r="BJ86" s="25"/>
      <c r="BL86" s="16"/>
      <c r="BP86" s="16"/>
      <c r="BR86" s="16"/>
      <c r="BW86" s="16"/>
      <c r="BY86" s="16"/>
      <c r="CA86" s="16"/>
      <c r="CC86" s="16"/>
      <c r="CG86" s="18"/>
      <c r="CI86" s="18"/>
      <c r="CJ86" s="18"/>
      <c r="CK86" s="18"/>
      <c r="CL86" s="18"/>
      <c r="CM86" s="18"/>
      <c r="CN86" s="18"/>
      <c r="CO86" s="18"/>
      <c r="CP86" s="18"/>
      <c r="CQ86" s="18"/>
      <c r="CR86" s="18"/>
      <c r="CS86" s="18"/>
      <c r="CT86" s="18"/>
      <c r="CU86" s="18"/>
      <c r="CV86" s="18"/>
      <c r="CW86" s="18"/>
      <c r="CX86" s="18"/>
      <c r="CY86" s="18"/>
      <c r="CZ86" s="18"/>
      <c r="DA86" s="18"/>
      <c r="DB86" s="18"/>
      <c r="DC86" s="18"/>
      <c r="DD86" s="18"/>
      <c r="DE86" s="18"/>
      <c r="DF86" s="18"/>
      <c r="DG86" s="18"/>
      <c r="DH86" s="18"/>
      <c r="DI86" s="18"/>
      <c r="DJ86" s="18"/>
      <c r="DK86" s="18"/>
      <c r="DL86" s="18"/>
      <c r="DM86" s="18"/>
      <c r="DN86" s="18"/>
      <c r="DO86" s="18"/>
      <c r="DP86" s="18"/>
      <c r="DQ86" s="18"/>
      <c r="DR86" s="18"/>
      <c r="DS86" s="18"/>
      <c r="DT86" s="18"/>
      <c r="DU86" s="18"/>
      <c r="DV86" s="18"/>
      <c r="DW86" s="18"/>
    </row>
    <row r="87" spans="1:126" ht="12.75">
      <c r="A87" s="16"/>
      <c r="B87" s="16"/>
      <c r="C87" s="97"/>
      <c r="D87" s="97"/>
      <c r="E87" s="97"/>
      <c r="G87" s="97"/>
      <c r="I87" s="97"/>
      <c r="K87" s="16"/>
      <c r="M87" s="16"/>
      <c r="O87" s="16"/>
      <c r="Q87" s="16"/>
      <c r="S87" s="16"/>
      <c r="T87" s="16"/>
      <c r="V87" s="16"/>
      <c r="X87" s="16"/>
      <c r="Z87" s="16"/>
      <c r="AC87" s="16"/>
      <c r="AD87" s="16"/>
      <c r="AE87" s="16"/>
      <c r="AG87" s="16"/>
      <c r="AH87" s="16"/>
      <c r="AI87" s="16"/>
      <c r="AJ87" s="16"/>
      <c r="AK87" s="16"/>
      <c r="AQ87" s="16"/>
      <c r="BF87" s="16"/>
      <c r="BH87" s="25"/>
      <c r="BJ87" s="25"/>
      <c r="BL87" s="16"/>
      <c r="BP87" s="16"/>
      <c r="BR87" s="16"/>
      <c r="BW87" s="16"/>
      <c r="BY87" s="16"/>
      <c r="CA87" s="16"/>
      <c r="CC87" s="16"/>
      <c r="CG87" s="16"/>
      <c r="CI87" s="16"/>
      <c r="CK87" s="16"/>
      <c r="CL87" s="16"/>
      <c r="CN87" s="16"/>
      <c r="CP87" s="16"/>
      <c r="CQ87" s="16"/>
      <c r="CR87" s="16"/>
      <c r="CS87" s="16"/>
      <c r="CT87" s="16"/>
      <c r="CX87" s="16"/>
      <c r="CY87" s="16"/>
      <c r="DA87" s="16"/>
      <c r="DC87" s="16"/>
      <c r="DE87" s="16"/>
      <c r="DG87" s="16"/>
      <c r="DI87" s="16"/>
      <c r="DK87" s="16"/>
      <c r="DM87" s="16"/>
      <c r="DN87" s="16"/>
      <c r="DP87" s="16"/>
      <c r="DV87" s="16"/>
    </row>
    <row r="88" spans="1:126" ht="12.75">
      <c r="A88" s="16"/>
      <c r="B88" s="16"/>
      <c r="C88" s="97"/>
      <c r="D88" s="97"/>
      <c r="E88" s="97"/>
      <c r="G88" s="97"/>
      <c r="I88" s="97"/>
      <c r="K88" s="16"/>
      <c r="M88" s="16"/>
      <c r="O88" s="16"/>
      <c r="Q88" s="16"/>
      <c r="S88" s="16"/>
      <c r="T88" s="16"/>
      <c r="V88" s="16"/>
      <c r="X88" s="16"/>
      <c r="Z88" s="16"/>
      <c r="AC88" s="16"/>
      <c r="AD88" s="16"/>
      <c r="AE88" s="16"/>
      <c r="AG88" s="16"/>
      <c r="AH88" s="16"/>
      <c r="AI88" s="16"/>
      <c r="AJ88" s="16"/>
      <c r="AK88" s="16"/>
      <c r="AQ88" s="16"/>
      <c r="BF88" s="16"/>
      <c r="BH88" s="25"/>
      <c r="BJ88" s="25"/>
      <c r="BL88" s="16"/>
      <c r="BP88" s="16"/>
      <c r="BR88" s="16"/>
      <c r="BW88" s="16"/>
      <c r="BY88" s="16"/>
      <c r="CA88" s="16"/>
      <c r="CC88" s="16"/>
      <c r="CG88" s="16"/>
      <c r="CI88" s="16"/>
      <c r="CK88" s="16"/>
      <c r="CL88" s="16"/>
      <c r="CN88" s="16"/>
      <c r="CP88" s="16"/>
      <c r="CQ88" s="16"/>
      <c r="CR88" s="16"/>
      <c r="CS88" s="16"/>
      <c r="CT88" s="16"/>
      <c r="CX88" s="16"/>
      <c r="CY88" s="16"/>
      <c r="DA88" s="16"/>
      <c r="DC88" s="16"/>
      <c r="DE88" s="16"/>
      <c r="DG88" s="16"/>
      <c r="DI88" s="16"/>
      <c r="DK88" s="16"/>
      <c r="DM88" s="16"/>
      <c r="DN88" s="16"/>
      <c r="DP88" s="16"/>
      <c r="DV88" s="16"/>
    </row>
    <row r="89" spans="1:126" ht="12.75">
      <c r="A89" s="16"/>
      <c r="B89" s="16"/>
      <c r="C89" s="97"/>
      <c r="D89" s="97"/>
      <c r="E89" s="97"/>
      <c r="G89" s="97"/>
      <c r="I89" s="97"/>
      <c r="K89" s="16"/>
      <c r="M89" s="16"/>
      <c r="O89" s="16"/>
      <c r="Q89" s="16"/>
      <c r="S89" s="16"/>
      <c r="T89" s="16"/>
      <c r="V89" s="16"/>
      <c r="X89" s="16"/>
      <c r="Z89" s="16"/>
      <c r="AC89" s="16"/>
      <c r="AD89" s="16"/>
      <c r="AE89" s="16"/>
      <c r="AG89" s="16"/>
      <c r="AH89" s="16"/>
      <c r="AI89" s="16"/>
      <c r="AJ89" s="16"/>
      <c r="AK89" s="16"/>
      <c r="AQ89" s="16"/>
      <c r="BF89" s="16"/>
      <c r="BH89" s="25"/>
      <c r="BJ89" s="25"/>
      <c r="BL89" s="16"/>
      <c r="BP89" s="16"/>
      <c r="BR89" s="16"/>
      <c r="BW89" s="16"/>
      <c r="BY89" s="16"/>
      <c r="CA89" s="16"/>
      <c r="CC89" s="16"/>
      <c r="CG89" s="16"/>
      <c r="CI89" s="16"/>
      <c r="CK89" s="16"/>
      <c r="CL89" s="16"/>
      <c r="CN89" s="16"/>
      <c r="CP89" s="16"/>
      <c r="CQ89" s="16"/>
      <c r="CR89" s="16"/>
      <c r="CS89" s="16"/>
      <c r="CT89" s="16"/>
      <c r="CX89" s="16"/>
      <c r="CY89" s="16"/>
      <c r="DA89" s="16"/>
      <c r="DC89" s="16"/>
      <c r="DE89" s="16"/>
      <c r="DG89" s="16"/>
      <c r="DI89" s="16"/>
      <c r="DK89" s="16"/>
      <c r="DM89" s="16"/>
      <c r="DN89" s="16"/>
      <c r="DP89" s="16"/>
      <c r="DV89" s="16"/>
    </row>
    <row r="90" spans="1:126" ht="12.75">
      <c r="A90" s="16"/>
      <c r="B90" s="16"/>
      <c r="C90" s="97"/>
      <c r="D90" s="97"/>
      <c r="E90" s="97"/>
      <c r="G90" s="97"/>
      <c r="I90" s="97"/>
      <c r="K90" s="16"/>
      <c r="M90" s="16"/>
      <c r="O90" s="16"/>
      <c r="Q90" s="16"/>
      <c r="S90" s="16"/>
      <c r="T90" s="16"/>
      <c r="V90" s="16"/>
      <c r="X90" s="16"/>
      <c r="Z90" s="16"/>
      <c r="AC90" s="16"/>
      <c r="AD90" s="16"/>
      <c r="AE90" s="16"/>
      <c r="AG90" s="16"/>
      <c r="AH90" s="16"/>
      <c r="AI90" s="16"/>
      <c r="AJ90" s="16"/>
      <c r="AK90" s="16"/>
      <c r="AQ90" s="16"/>
      <c r="BF90" s="16"/>
      <c r="BH90" s="25"/>
      <c r="BJ90" s="25"/>
      <c r="BL90" s="16"/>
      <c r="BP90" s="16"/>
      <c r="BR90" s="16"/>
      <c r="BW90" s="16"/>
      <c r="BY90" s="16"/>
      <c r="CA90" s="16"/>
      <c r="CC90" s="16"/>
      <c r="CG90" s="16"/>
      <c r="CI90" s="16"/>
      <c r="CK90" s="16"/>
      <c r="CL90" s="16"/>
      <c r="CN90" s="16"/>
      <c r="CP90" s="16"/>
      <c r="CQ90" s="16"/>
      <c r="CR90" s="16"/>
      <c r="CS90" s="16"/>
      <c r="CT90" s="16"/>
      <c r="CX90" s="16"/>
      <c r="CY90" s="16"/>
      <c r="DA90" s="16"/>
      <c r="DC90" s="16"/>
      <c r="DE90" s="16"/>
      <c r="DG90" s="16"/>
      <c r="DI90" s="16"/>
      <c r="DK90" s="16"/>
      <c r="DM90" s="16"/>
      <c r="DN90" s="16"/>
      <c r="DP90" s="16"/>
      <c r="DV90" s="16"/>
    </row>
    <row r="91" spans="1:126" ht="12.75">
      <c r="A91" s="16"/>
      <c r="B91" s="16"/>
      <c r="C91" s="97"/>
      <c r="D91" s="97"/>
      <c r="E91" s="97"/>
      <c r="G91" s="97"/>
      <c r="I91" s="97"/>
      <c r="K91" s="16"/>
      <c r="M91" s="16"/>
      <c r="O91" s="16"/>
      <c r="Q91" s="16"/>
      <c r="S91" s="16"/>
      <c r="T91" s="16"/>
      <c r="V91" s="16"/>
      <c r="X91" s="16"/>
      <c r="Z91" s="16"/>
      <c r="AC91" s="16"/>
      <c r="AD91" s="16"/>
      <c r="AE91" s="16"/>
      <c r="AG91" s="16"/>
      <c r="AH91" s="16"/>
      <c r="AI91" s="16"/>
      <c r="AJ91" s="16"/>
      <c r="AK91" s="16"/>
      <c r="AQ91" s="16"/>
      <c r="BF91" s="16"/>
      <c r="BH91" s="25"/>
      <c r="BJ91" s="25"/>
      <c r="BL91" s="16"/>
      <c r="BP91" s="16"/>
      <c r="BR91" s="16"/>
      <c r="BW91" s="16"/>
      <c r="BY91" s="16"/>
      <c r="CA91" s="16"/>
      <c r="CC91" s="16"/>
      <c r="CG91" s="16"/>
      <c r="CI91" s="16"/>
      <c r="CK91" s="16"/>
      <c r="CL91" s="16"/>
      <c r="CN91" s="16"/>
      <c r="CP91" s="16"/>
      <c r="CQ91" s="16"/>
      <c r="CR91" s="16"/>
      <c r="CS91" s="16"/>
      <c r="CT91" s="16"/>
      <c r="CX91" s="16"/>
      <c r="CY91" s="16"/>
      <c r="DA91" s="16"/>
      <c r="DC91" s="16"/>
      <c r="DE91" s="16"/>
      <c r="DG91" s="16"/>
      <c r="DI91" s="16"/>
      <c r="DK91" s="16"/>
      <c r="DM91" s="16"/>
      <c r="DN91" s="16"/>
      <c r="DP91" s="16"/>
      <c r="DV91" s="16"/>
    </row>
    <row r="92" spans="1:126" ht="12.75">
      <c r="A92" s="16"/>
      <c r="B92" s="16"/>
      <c r="C92" s="97"/>
      <c r="D92" s="97"/>
      <c r="E92" s="97"/>
      <c r="G92" s="97"/>
      <c r="I92" s="97"/>
      <c r="K92" s="16"/>
      <c r="M92" s="16"/>
      <c r="O92" s="16"/>
      <c r="Q92" s="16"/>
      <c r="S92" s="16"/>
      <c r="T92" s="16"/>
      <c r="V92" s="16"/>
      <c r="X92" s="16"/>
      <c r="Z92" s="16"/>
      <c r="AC92" s="16"/>
      <c r="AD92" s="16"/>
      <c r="AE92" s="16"/>
      <c r="AG92" s="16"/>
      <c r="AH92" s="16"/>
      <c r="AI92" s="16"/>
      <c r="AJ92" s="16"/>
      <c r="AK92" s="16"/>
      <c r="AQ92" s="16"/>
      <c r="BF92" s="16"/>
      <c r="BH92" s="25"/>
      <c r="BJ92" s="25"/>
      <c r="BL92" s="16"/>
      <c r="BP92" s="16"/>
      <c r="BR92" s="16"/>
      <c r="BW92" s="16"/>
      <c r="BY92" s="16"/>
      <c r="CA92" s="16"/>
      <c r="CC92" s="16"/>
      <c r="CG92" s="16"/>
      <c r="CI92" s="16"/>
      <c r="CK92" s="16"/>
      <c r="CL92" s="16"/>
      <c r="CN92" s="16"/>
      <c r="CP92" s="16"/>
      <c r="CQ92" s="16"/>
      <c r="CR92" s="16"/>
      <c r="CS92" s="16"/>
      <c r="CT92" s="16"/>
      <c r="CX92" s="16"/>
      <c r="CY92" s="16"/>
      <c r="DA92" s="16"/>
      <c r="DC92" s="16"/>
      <c r="DE92" s="16"/>
      <c r="DG92" s="16"/>
      <c r="DI92" s="16"/>
      <c r="DK92" s="16"/>
      <c r="DM92" s="16"/>
      <c r="DN92" s="16"/>
      <c r="DP92" s="16"/>
      <c r="DV92" s="16"/>
    </row>
    <row r="93" spans="1:126" ht="12.75">
      <c r="A93" s="16"/>
      <c r="B93" s="16"/>
      <c r="C93" s="97"/>
      <c r="D93" s="97"/>
      <c r="E93" s="97"/>
      <c r="G93" s="97"/>
      <c r="I93" s="97"/>
      <c r="K93" s="16"/>
      <c r="M93" s="16"/>
      <c r="O93" s="16"/>
      <c r="Q93" s="16"/>
      <c r="S93" s="16"/>
      <c r="T93" s="16"/>
      <c r="V93" s="16"/>
      <c r="X93" s="16"/>
      <c r="Z93" s="16"/>
      <c r="AC93" s="16"/>
      <c r="AD93" s="16"/>
      <c r="AE93" s="16"/>
      <c r="AG93" s="16"/>
      <c r="AH93" s="16"/>
      <c r="AI93" s="16"/>
      <c r="AJ93" s="16"/>
      <c r="AK93" s="16"/>
      <c r="AQ93" s="16"/>
      <c r="BF93" s="16"/>
      <c r="BH93" s="25"/>
      <c r="BJ93" s="25"/>
      <c r="BL93" s="16"/>
      <c r="BP93" s="16"/>
      <c r="BR93" s="16"/>
      <c r="BW93" s="16"/>
      <c r="BY93" s="16"/>
      <c r="CA93" s="16"/>
      <c r="CC93" s="16"/>
      <c r="CG93" s="16"/>
      <c r="CI93" s="16"/>
      <c r="CK93" s="16"/>
      <c r="CL93" s="16"/>
      <c r="CN93" s="16"/>
      <c r="CP93" s="16"/>
      <c r="CQ93" s="16"/>
      <c r="CR93" s="16"/>
      <c r="CS93" s="16"/>
      <c r="CT93" s="16"/>
      <c r="CX93" s="16"/>
      <c r="CY93" s="16"/>
      <c r="DA93" s="16"/>
      <c r="DC93" s="16"/>
      <c r="DE93" s="16"/>
      <c r="DG93" s="16"/>
      <c r="DI93" s="16"/>
      <c r="DK93" s="16"/>
      <c r="DM93" s="16"/>
      <c r="DN93" s="16"/>
      <c r="DP93" s="16"/>
      <c r="DV93" s="16"/>
    </row>
    <row r="94" spans="1:126" ht="12.75">
      <c r="A94" s="16"/>
      <c r="B94" s="16"/>
      <c r="C94" s="97"/>
      <c r="D94" s="97"/>
      <c r="E94" s="97"/>
      <c r="G94" s="97"/>
      <c r="I94" s="97"/>
      <c r="K94" s="16"/>
      <c r="M94" s="16"/>
      <c r="O94" s="16"/>
      <c r="Q94" s="16"/>
      <c r="S94" s="16"/>
      <c r="T94" s="16"/>
      <c r="V94" s="16"/>
      <c r="X94" s="16"/>
      <c r="Z94" s="16"/>
      <c r="AC94" s="16"/>
      <c r="AD94" s="16"/>
      <c r="AE94" s="16"/>
      <c r="AG94" s="16"/>
      <c r="AH94" s="16"/>
      <c r="AI94" s="16"/>
      <c r="AJ94" s="16"/>
      <c r="AK94" s="16"/>
      <c r="AQ94" s="16"/>
      <c r="BF94" s="16"/>
      <c r="BH94" s="25"/>
      <c r="BJ94" s="25"/>
      <c r="BL94" s="16"/>
      <c r="BP94" s="16"/>
      <c r="BR94" s="16"/>
      <c r="BW94" s="16"/>
      <c r="BY94" s="16"/>
      <c r="CA94" s="16"/>
      <c r="CC94" s="16"/>
      <c r="CG94" s="16"/>
      <c r="CI94" s="16"/>
      <c r="CK94" s="16"/>
      <c r="CL94" s="16"/>
      <c r="CN94" s="16"/>
      <c r="CP94" s="16"/>
      <c r="CQ94" s="16"/>
      <c r="CR94" s="16"/>
      <c r="CS94" s="16"/>
      <c r="CT94" s="16"/>
      <c r="CX94" s="16"/>
      <c r="CY94" s="16"/>
      <c r="DA94" s="16"/>
      <c r="DC94" s="16"/>
      <c r="DE94" s="16"/>
      <c r="DG94" s="16"/>
      <c r="DI94" s="16"/>
      <c r="DK94" s="16"/>
      <c r="DM94" s="16"/>
      <c r="DN94" s="16"/>
      <c r="DP94" s="16"/>
      <c r="DV94" s="16"/>
    </row>
    <row r="95" spans="1:126" ht="12.75">
      <c r="A95" s="16"/>
      <c r="B95" s="16"/>
      <c r="C95" s="97"/>
      <c r="D95" s="97"/>
      <c r="E95" s="97"/>
      <c r="G95" s="97"/>
      <c r="I95" s="97"/>
      <c r="K95" s="16"/>
      <c r="M95" s="16"/>
      <c r="O95" s="16"/>
      <c r="Q95" s="16"/>
      <c r="S95" s="16"/>
      <c r="T95" s="16"/>
      <c r="V95" s="16"/>
      <c r="X95" s="16"/>
      <c r="Z95" s="16"/>
      <c r="AC95" s="16"/>
      <c r="AD95" s="16"/>
      <c r="AE95" s="16"/>
      <c r="AG95" s="16"/>
      <c r="AH95" s="16"/>
      <c r="AI95" s="16"/>
      <c r="AJ95" s="16"/>
      <c r="AK95" s="16"/>
      <c r="AQ95" s="16"/>
      <c r="BF95" s="16"/>
      <c r="BH95" s="25"/>
      <c r="BJ95" s="25"/>
      <c r="BL95" s="16"/>
      <c r="BP95" s="16"/>
      <c r="BR95" s="16"/>
      <c r="BW95" s="16"/>
      <c r="BY95" s="16"/>
      <c r="CA95" s="16"/>
      <c r="CC95" s="16"/>
      <c r="CG95" s="16"/>
      <c r="CI95" s="16"/>
      <c r="CK95" s="16"/>
      <c r="CL95" s="16"/>
      <c r="CN95" s="16"/>
      <c r="CP95" s="16"/>
      <c r="CQ95" s="16"/>
      <c r="CR95" s="16"/>
      <c r="CS95" s="16"/>
      <c r="CT95" s="16"/>
      <c r="CX95" s="16"/>
      <c r="CY95" s="16"/>
      <c r="DA95" s="16"/>
      <c r="DC95" s="16"/>
      <c r="DE95" s="16"/>
      <c r="DG95" s="16"/>
      <c r="DI95" s="16"/>
      <c r="DK95" s="16"/>
      <c r="DM95" s="16"/>
      <c r="DN95" s="16"/>
      <c r="DP95" s="16"/>
      <c r="DV95" s="16"/>
    </row>
    <row r="96" spans="1:126" ht="12.75">
      <c r="A96" s="16"/>
      <c r="B96" s="16"/>
      <c r="C96" s="97"/>
      <c r="D96" s="97"/>
      <c r="E96" s="97"/>
      <c r="G96" s="97"/>
      <c r="I96" s="97"/>
      <c r="K96" s="16"/>
      <c r="M96" s="16"/>
      <c r="O96" s="16"/>
      <c r="Q96" s="16"/>
      <c r="S96" s="16"/>
      <c r="T96" s="16"/>
      <c r="V96" s="16"/>
      <c r="X96" s="16"/>
      <c r="Z96" s="16"/>
      <c r="AC96" s="16"/>
      <c r="AD96" s="16"/>
      <c r="AE96" s="16"/>
      <c r="AG96" s="16"/>
      <c r="AH96" s="16"/>
      <c r="AI96" s="16"/>
      <c r="AJ96" s="16"/>
      <c r="AK96" s="16"/>
      <c r="AQ96" s="16"/>
      <c r="BF96" s="16"/>
      <c r="BH96" s="25"/>
      <c r="BJ96" s="25"/>
      <c r="BL96" s="16"/>
      <c r="BP96" s="16"/>
      <c r="BR96" s="16"/>
      <c r="BW96" s="16"/>
      <c r="BY96" s="16"/>
      <c r="CA96" s="16"/>
      <c r="CC96" s="16"/>
      <c r="CG96" s="16"/>
      <c r="CI96" s="16"/>
      <c r="CK96" s="16"/>
      <c r="CL96" s="16"/>
      <c r="CN96" s="16"/>
      <c r="CP96" s="16"/>
      <c r="CQ96" s="16"/>
      <c r="CR96" s="16"/>
      <c r="CS96" s="16"/>
      <c r="CT96" s="16"/>
      <c r="CX96" s="16"/>
      <c r="CY96" s="16"/>
      <c r="DA96" s="16"/>
      <c r="DC96" s="16"/>
      <c r="DE96" s="16"/>
      <c r="DG96" s="16"/>
      <c r="DI96" s="16"/>
      <c r="DK96" s="16"/>
      <c r="DM96" s="16"/>
      <c r="DN96" s="16"/>
      <c r="DP96" s="16"/>
      <c r="DV96" s="16"/>
    </row>
    <row r="97" spans="1:126" ht="12.75">
      <c r="A97" s="16"/>
      <c r="B97" s="16"/>
      <c r="C97" s="97"/>
      <c r="D97" s="97"/>
      <c r="E97" s="97"/>
      <c r="G97" s="97"/>
      <c r="I97" s="97"/>
      <c r="K97" s="16"/>
      <c r="M97" s="16"/>
      <c r="O97" s="16"/>
      <c r="Q97" s="16"/>
      <c r="S97" s="16"/>
      <c r="T97" s="16"/>
      <c r="V97" s="16"/>
      <c r="X97" s="16"/>
      <c r="Z97" s="16"/>
      <c r="AC97" s="16"/>
      <c r="AD97" s="16"/>
      <c r="AE97" s="16"/>
      <c r="AG97" s="16"/>
      <c r="AH97" s="16"/>
      <c r="AI97" s="16"/>
      <c r="AJ97" s="16"/>
      <c r="AK97" s="16"/>
      <c r="AQ97" s="16"/>
      <c r="BF97" s="16"/>
      <c r="BH97" s="25"/>
      <c r="BJ97" s="25"/>
      <c r="BL97" s="16"/>
      <c r="BP97" s="16"/>
      <c r="BR97" s="16"/>
      <c r="BW97" s="16"/>
      <c r="BY97" s="16"/>
      <c r="CA97" s="16"/>
      <c r="CC97" s="16"/>
      <c r="CG97" s="16"/>
      <c r="CI97" s="16"/>
      <c r="CK97" s="16"/>
      <c r="CL97" s="16"/>
      <c r="CN97" s="16"/>
      <c r="CP97" s="16"/>
      <c r="CQ97" s="16"/>
      <c r="CR97" s="16"/>
      <c r="CS97" s="16"/>
      <c r="CT97" s="16"/>
      <c r="CX97" s="16"/>
      <c r="CY97" s="16"/>
      <c r="DA97" s="16"/>
      <c r="DC97" s="16"/>
      <c r="DE97" s="16"/>
      <c r="DG97" s="16"/>
      <c r="DI97" s="16"/>
      <c r="DK97" s="16"/>
      <c r="DM97" s="16"/>
      <c r="DN97" s="16"/>
      <c r="DP97" s="16"/>
      <c r="DV97" s="16"/>
    </row>
    <row r="98" spans="1:126" ht="12.75">
      <c r="A98" s="16"/>
      <c r="B98" s="16"/>
      <c r="C98" s="97"/>
      <c r="D98" s="97"/>
      <c r="E98" s="97"/>
      <c r="G98" s="97"/>
      <c r="I98" s="97"/>
      <c r="K98" s="16"/>
      <c r="M98" s="16"/>
      <c r="O98" s="16"/>
      <c r="Q98" s="16"/>
      <c r="S98" s="16"/>
      <c r="T98" s="16"/>
      <c r="V98" s="16"/>
      <c r="X98" s="16"/>
      <c r="Z98" s="16"/>
      <c r="AC98" s="16"/>
      <c r="AD98" s="16"/>
      <c r="AE98" s="16"/>
      <c r="AG98" s="16"/>
      <c r="AH98" s="16"/>
      <c r="AI98" s="16"/>
      <c r="AJ98" s="16"/>
      <c r="AK98" s="16"/>
      <c r="AQ98" s="16"/>
      <c r="BF98" s="16"/>
      <c r="BH98" s="25"/>
      <c r="BJ98" s="25"/>
      <c r="BL98" s="16"/>
      <c r="BP98" s="16"/>
      <c r="BR98" s="16"/>
      <c r="BW98" s="16"/>
      <c r="BY98" s="16"/>
      <c r="CA98" s="16"/>
      <c r="CC98" s="16"/>
      <c r="CG98" s="16"/>
      <c r="CI98" s="16"/>
      <c r="CK98" s="16"/>
      <c r="CL98" s="16"/>
      <c r="CN98" s="16"/>
      <c r="CP98" s="16"/>
      <c r="CQ98" s="16"/>
      <c r="CR98" s="16"/>
      <c r="CS98" s="16"/>
      <c r="CT98" s="16"/>
      <c r="CX98" s="16"/>
      <c r="CY98" s="16"/>
      <c r="DA98" s="16"/>
      <c r="DC98" s="16"/>
      <c r="DE98" s="16"/>
      <c r="DG98" s="16"/>
      <c r="DI98" s="16"/>
      <c r="DK98" s="16"/>
      <c r="DM98" s="16"/>
      <c r="DN98" s="16"/>
      <c r="DP98" s="16"/>
      <c r="DV98" s="16"/>
    </row>
    <row r="99" spans="1:126" ht="12.75">
      <c r="A99" s="16"/>
      <c r="B99" s="16"/>
      <c r="C99" s="97"/>
      <c r="D99" s="97"/>
      <c r="E99" s="97"/>
      <c r="G99" s="97"/>
      <c r="I99" s="97"/>
      <c r="K99" s="16"/>
      <c r="M99" s="16"/>
      <c r="O99" s="16"/>
      <c r="Q99" s="16"/>
      <c r="S99" s="16"/>
      <c r="T99" s="16"/>
      <c r="V99" s="16"/>
      <c r="X99" s="16"/>
      <c r="Z99" s="16"/>
      <c r="AC99" s="16"/>
      <c r="AD99" s="16"/>
      <c r="AE99" s="16"/>
      <c r="AG99" s="16"/>
      <c r="AH99" s="16"/>
      <c r="AI99" s="16"/>
      <c r="AJ99" s="16"/>
      <c r="AK99" s="16"/>
      <c r="AQ99" s="16"/>
      <c r="BF99" s="16"/>
      <c r="BH99" s="25"/>
      <c r="BJ99" s="25"/>
      <c r="BL99" s="16"/>
      <c r="BP99" s="16"/>
      <c r="BR99" s="16"/>
      <c r="BW99" s="16"/>
      <c r="BY99" s="16"/>
      <c r="CA99" s="16"/>
      <c r="CC99" s="16"/>
      <c r="CG99" s="16"/>
      <c r="CI99" s="16"/>
      <c r="CK99" s="16"/>
      <c r="CL99" s="16"/>
      <c r="CN99" s="16"/>
      <c r="CP99" s="16"/>
      <c r="CQ99" s="16"/>
      <c r="CR99" s="16"/>
      <c r="CS99" s="16"/>
      <c r="CT99" s="16"/>
      <c r="CX99" s="16"/>
      <c r="CY99" s="16"/>
      <c r="DA99" s="16"/>
      <c r="DC99" s="16"/>
      <c r="DE99" s="16"/>
      <c r="DG99" s="16"/>
      <c r="DI99" s="16"/>
      <c r="DK99" s="16"/>
      <c r="DM99" s="16"/>
      <c r="DN99" s="16"/>
      <c r="DP99" s="16"/>
      <c r="DV99" s="16"/>
    </row>
    <row r="100" spans="1:126" ht="12.75">
      <c r="A100" s="16"/>
      <c r="B100" s="16"/>
      <c r="C100" s="97"/>
      <c r="D100" s="97"/>
      <c r="E100" s="97"/>
      <c r="G100" s="97"/>
      <c r="I100" s="97"/>
      <c r="K100" s="16"/>
      <c r="M100" s="16"/>
      <c r="O100" s="16"/>
      <c r="Q100" s="16"/>
      <c r="S100" s="16"/>
      <c r="T100" s="16"/>
      <c r="V100" s="16"/>
      <c r="X100" s="16"/>
      <c r="Z100" s="16"/>
      <c r="AC100" s="16"/>
      <c r="AD100" s="16"/>
      <c r="AE100" s="16"/>
      <c r="AG100" s="16"/>
      <c r="AH100" s="16"/>
      <c r="AI100" s="16"/>
      <c r="AJ100" s="16"/>
      <c r="AK100" s="16"/>
      <c r="AQ100" s="16"/>
      <c r="BF100" s="16"/>
      <c r="BH100" s="25"/>
      <c r="BJ100" s="25"/>
      <c r="BL100" s="16"/>
      <c r="BP100" s="16"/>
      <c r="BR100" s="16"/>
      <c r="BW100" s="16"/>
      <c r="BY100" s="16"/>
      <c r="CA100" s="16"/>
      <c r="CC100" s="16"/>
      <c r="CG100" s="16"/>
      <c r="CI100" s="16"/>
      <c r="CK100" s="16"/>
      <c r="CL100" s="16"/>
      <c r="CN100" s="16"/>
      <c r="CP100" s="16"/>
      <c r="CQ100" s="16"/>
      <c r="CR100" s="16"/>
      <c r="CS100" s="16"/>
      <c r="CT100" s="16"/>
      <c r="CX100" s="16"/>
      <c r="CY100" s="16"/>
      <c r="DA100" s="16"/>
      <c r="DC100" s="16"/>
      <c r="DE100" s="16"/>
      <c r="DG100" s="16"/>
      <c r="DI100" s="16"/>
      <c r="DK100" s="16"/>
      <c r="DM100" s="16"/>
      <c r="DN100" s="16"/>
      <c r="DP100" s="16"/>
      <c r="DV100" s="16"/>
    </row>
    <row r="101" spans="1:126" ht="12.75">
      <c r="A101" s="16"/>
      <c r="B101" s="16"/>
      <c r="C101" s="97"/>
      <c r="D101" s="97"/>
      <c r="E101" s="97"/>
      <c r="G101" s="97"/>
      <c r="I101" s="97"/>
      <c r="K101" s="16"/>
      <c r="M101" s="16"/>
      <c r="O101" s="16"/>
      <c r="Q101" s="16"/>
      <c r="S101" s="16"/>
      <c r="T101" s="16"/>
      <c r="V101" s="16"/>
      <c r="X101" s="16"/>
      <c r="Z101" s="16"/>
      <c r="AC101" s="16"/>
      <c r="AD101" s="16"/>
      <c r="AE101" s="16"/>
      <c r="AG101" s="16"/>
      <c r="AH101" s="16"/>
      <c r="AI101" s="16"/>
      <c r="AJ101" s="16"/>
      <c r="AK101" s="16"/>
      <c r="AQ101" s="16"/>
      <c r="BF101" s="16"/>
      <c r="BH101" s="25"/>
      <c r="BJ101" s="25"/>
      <c r="BL101" s="16"/>
      <c r="BP101" s="16"/>
      <c r="BR101" s="16"/>
      <c r="BW101" s="16"/>
      <c r="BY101" s="16"/>
      <c r="CA101" s="16"/>
      <c r="CC101" s="16"/>
      <c r="CG101" s="16"/>
      <c r="CI101" s="16"/>
      <c r="CK101" s="16"/>
      <c r="CL101" s="16"/>
      <c r="CN101" s="16"/>
      <c r="CP101" s="16"/>
      <c r="CQ101" s="16"/>
      <c r="CR101" s="16"/>
      <c r="CS101" s="16"/>
      <c r="CT101" s="16"/>
      <c r="CX101" s="16"/>
      <c r="CY101" s="16"/>
      <c r="DA101" s="16"/>
      <c r="DC101" s="16"/>
      <c r="DE101" s="16"/>
      <c r="DG101" s="16"/>
      <c r="DI101" s="16"/>
      <c r="DK101" s="16"/>
      <c r="DM101" s="16"/>
      <c r="DN101" s="16"/>
      <c r="DP101" s="16"/>
      <c r="DV101" s="16"/>
    </row>
    <row r="102" spans="1:126" ht="12.75">
      <c r="A102" s="16"/>
      <c r="B102" s="16"/>
      <c r="C102" s="97"/>
      <c r="D102" s="97"/>
      <c r="E102" s="97"/>
      <c r="G102" s="97"/>
      <c r="I102" s="97"/>
      <c r="K102" s="16"/>
      <c r="M102" s="16"/>
      <c r="O102" s="16"/>
      <c r="Q102" s="16"/>
      <c r="S102" s="16"/>
      <c r="T102" s="16"/>
      <c r="V102" s="16"/>
      <c r="X102" s="16"/>
      <c r="Z102" s="16"/>
      <c r="AC102" s="16"/>
      <c r="AD102" s="16"/>
      <c r="AE102" s="16"/>
      <c r="AG102" s="16"/>
      <c r="AH102" s="16"/>
      <c r="AI102" s="16"/>
      <c r="AJ102" s="16"/>
      <c r="AK102" s="16"/>
      <c r="AQ102" s="16"/>
      <c r="BF102" s="16"/>
      <c r="BH102" s="25"/>
      <c r="BJ102" s="25"/>
      <c r="BL102" s="16"/>
      <c r="BP102" s="16"/>
      <c r="BR102" s="16"/>
      <c r="BW102" s="16"/>
      <c r="BY102" s="16"/>
      <c r="CA102" s="16"/>
      <c r="CC102" s="16"/>
      <c r="CG102" s="16"/>
      <c r="CI102" s="16"/>
      <c r="CK102" s="16"/>
      <c r="CL102" s="16"/>
      <c r="CN102" s="16"/>
      <c r="CP102" s="16"/>
      <c r="CQ102" s="16"/>
      <c r="CR102" s="16"/>
      <c r="CS102" s="16"/>
      <c r="CT102" s="16"/>
      <c r="CX102" s="16"/>
      <c r="CY102" s="16"/>
      <c r="DA102" s="16"/>
      <c r="DC102" s="16"/>
      <c r="DE102" s="16"/>
      <c r="DG102" s="16"/>
      <c r="DI102" s="16"/>
      <c r="DK102" s="16"/>
      <c r="DM102" s="16"/>
      <c r="DN102" s="16"/>
      <c r="DP102" s="16"/>
      <c r="DV102" s="16"/>
    </row>
    <row r="103" spans="1:126" ht="12.75">
      <c r="A103" s="16"/>
      <c r="B103" s="16"/>
      <c r="C103" s="97"/>
      <c r="D103" s="97"/>
      <c r="E103" s="97"/>
      <c r="G103" s="97"/>
      <c r="I103" s="97"/>
      <c r="K103" s="16"/>
      <c r="M103" s="16"/>
      <c r="O103" s="16"/>
      <c r="Q103" s="16"/>
      <c r="S103" s="16"/>
      <c r="T103" s="16"/>
      <c r="V103" s="16"/>
      <c r="X103" s="16"/>
      <c r="Z103" s="16"/>
      <c r="AC103" s="16"/>
      <c r="AD103" s="16"/>
      <c r="AE103" s="16"/>
      <c r="AG103" s="16"/>
      <c r="AH103" s="16"/>
      <c r="AI103" s="16"/>
      <c r="AJ103" s="16"/>
      <c r="AK103" s="16"/>
      <c r="AQ103" s="16"/>
      <c r="BF103" s="16"/>
      <c r="BH103" s="25"/>
      <c r="BJ103" s="25"/>
      <c r="BL103" s="16"/>
      <c r="BP103" s="16"/>
      <c r="BR103" s="16"/>
      <c r="BW103" s="16"/>
      <c r="BY103" s="16"/>
      <c r="CA103" s="16"/>
      <c r="CC103" s="16"/>
      <c r="CG103" s="16"/>
      <c r="CI103" s="16"/>
      <c r="CK103" s="16"/>
      <c r="CL103" s="16"/>
      <c r="CN103" s="16"/>
      <c r="CP103" s="16"/>
      <c r="CQ103" s="16"/>
      <c r="CR103" s="16"/>
      <c r="CS103" s="16"/>
      <c r="CT103" s="16"/>
      <c r="CX103" s="16"/>
      <c r="CY103" s="16"/>
      <c r="DA103" s="16"/>
      <c r="DC103" s="16"/>
      <c r="DE103" s="16"/>
      <c r="DG103" s="16"/>
      <c r="DI103" s="16"/>
      <c r="DK103" s="16"/>
      <c r="DM103" s="16"/>
      <c r="DN103" s="16"/>
      <c r="DP103" s="16"/>
      <c r="DV103" s="16"/>
    </row>
    <row r="104" spans="1:126" ht="12.75">
      <c r="A104" s="16"/>
      <c r="B104" s="16"/>
      <c r="C104" s="97"/>
      <c r="D104" s="97"/>
      <c r="E104" s="97"/>
      <c r="G104" s="97"/>
      <c r="I104" s="97"/>
      <c r="K104" s="16"/>
      <c r="M104" s="16"/>
      <c r="O104" s="16"/>
      <c r="Q104" s="16"/>
      <c r="S104" s="16"/>
      <c r="T104" s="16"/>
      <c r="V104" s="16"/>
      <c r="X104" s="16"/>
      <c r="Z104" s="16"/>
      <c r="AC104" s="16"/>
      <c r="AD104" s="16"/>
      <c r="AE104" s="16"/>
      <c r="AG104" s="16"/>
      <c r="AH104" s="16"/>
      <c r="AI104" s="16"/>
      <c r="AJ104" s="16"/>
      <c r="AK104" s="16"/>
      <c r="AQ104" s="16"/>
      <c r="BF104" s="16"/>
      <c r="BH104" s="25"/>
      <c r="BJ104" s="25"/>
      <c r="BL104" s="16"/>
      <c r="BP104" s="16"/>
      <c r="BR104" s="16"/>
      <c r="BW104" s="16"/>
      <c r="BY104" s="16"/>
      <c r="CA104" s="16"/>
      <c r="CC104" s="16"/>
      <c r="CG104" s="16"/>
      <c r="CI104" s="16"/>
      <c r="CK104" s="16"/>
      <c r="CL104" s="16"/>
      <c r="CN104" s="16"/>
      <c r="CP104" s="16"/>
      <c r="CQ104" s="16"/>
      <c r="CR104" s="16"/>
      <c r="CS104" s="16"/>
      <c r="CT104" s="16"/>
      <c r="CX104" s="16"/>
      <c r="CY104" s="16"/>
      <c r="DA104" s="16"/>
      <c r="DC104" s="16"/>
      <c r="DE104" s="16"/>
      <c r="DG104" s="16"/>
      <c r="DI104" s="16"/>
      <c r="DK104" s="16"/>
      <c r="DM104" s="16"/>
      <c r="DN104" s="16"/>
      <c r="DP104" s="16"/>
      <c r="DV104" s="16"/>
    </row>
    <row r="105" spans="1:126" ht="12.75">
      <c r="A105" s="16"/>
      <c r="B105" s="16"/>
      <c r="C105" s="97"/>
      <c r="D105" s="97"/>
      <c r="E105" s="97"/>
      <c r="G105" s="97"/>
      <c r="I105" s="97"/>
      <c r="K105" s="16"/>
      <c r="M105" s="16"/>
      <c r="O105" s="16"/>
      <c r="Q105" s="16"/>
      <c r="S105" s="16"/>
      <c r="T105" s="16"/>
      <c r="V105" s="16"/>
      <c r="X105" s="16"/>
      <c r="Z105" s="16"/>
      <c r="AC105" s="16"/>
      <c r="AD105" s="16"/>
      <c r="AE105" s="16"/>
      <c r="AG105" s="16"/>
      <c r="AH105" s="16"/>
      <c r="AI105" s="16"/>
      <c r="AJ105" s="16"/>
      <c r="AK105" s="16"/>
      <c r="AQ105" s="16"/>
      <c r="BF105" s="16"/>
      <c r="BH105" s="25"/>
      <c r="BJ105" s="25"/>
      <c r="BL105" s="16"/>
      <c r="BP105" s="16"/>
      <c r="BR105" s="16"/>
      <c r="BW105" s="16"/>
      <c r="BY105" s="16"/>
      <c r="CA105" s="16"/>
      <c r="CC105" s="16"/>
      <c r="CG105" s="16"/>
      <c r="CI105" s="16"/>
      <c r="CK105" s="16"/>
      <c r="CL105" s="16"/>
      <c r="CN105" s="16"/>
      <c r="CP105" s="16"/>
      <c r="CQ105" s="16"/>
      <c r="CR105" s="16"/>
      <c r="CS105" s="16"/>
      <c r="CT105" s="16"/>
      <c r="CX105" s="16"/>
      <c r="CY105" s="16"/>
      <c r="DA105" s="16"/>
      <c r="DC105" s="16"/>
      <c r="DE105" s="16"/>
      <c r="DG105" s="16"/>
      <c r="DI105" s="16"/>
      <c r="DK105" s="16"/>
      <c r="DM105" s="16"/>
      <c r="DN105" s="16"/>
      <c r="DP105" s="16"/>
      <c r="DV105" s="16"/>
    </row>
    <row r="106" spans="1:126" ht="12.75">
      <c r="A106" s="16"/>
      <c r="B106" s="16"/>
      <c r="C106" s="97"/>
      <c r="D106" s="97"/>
      <c r="E106" s="97"/>
      <c r="G106" s="97"/>
      <c r="I106" s="97"/>
      <c r="K106" s="16"/>
      <c r="M106" s="16"/>
      <c r="O106" s="16"/>
      <c r="Q106" s="16"/>
      <c r="S106" s="16"/>
      <c r="T106" s="16"/>
      <c r="V106" s="16"/>
      <c r="X106" s="16"/>
      <c r="Z106" s="16"/>
      <c r="AC106" s="16"/>
      <c r="AD106" s="16"/>
      <c r="AE106" s="16"/>
      <c r="AG106" s="16"/>
      <c r="AH106" s="16"/>
      <c r="AI106" s="16"/>
      <c r="AJ106" s="16"/>
      <c r="AK106" s="16"/>
      <c r="AQ106" s="16"/>
      <c r="BF106" s="16"/>
      <c r="BH106" s="25"/>
      <c r="BJ106" s="25"/>
      <c r="BL106" s="16"/>
      <c r="BP106" s="16"/>
      <c r="BR106" s="16"/>
      <c r="BW106" s="16"/>
      <c r="BY106" s="16"/>
      <c r="CA106" s="16"/>
      <c r="CC106" s="16"/>
      <c r="CG106" s="16"/>
      <c r="CI106" s="16"/>
      <c r="CK106" s="16"/>
      <c r="CL106" s="16"/>
      <c r="CN106" s="16"/>
      <c r="CP106" s="16"/>
      <c r="CQ106" s="16"/>
      <c r="CR106" s="16"/>
      <c r="CS106" s="16"/>
      <c r="CT106" s="16"/>
      <c r="CX106" s="16"/>
      <c r="CY106" s="16"/>
      <c r="DA106" s="16"/>
      <c r="DC106" s="16"/>
      <c r="DE106" s="16"/>
      <c r="DG106" s="16"/>
      <c r="DI106" s="16"/>
      <c r="DK106" s="16"/>
      <c r="DM106" s="16"/>
      <c r="DN106" s="16"/>
      <c r="DP106" s="16"/>
      <c r="DV106" s="16"/>
    </row>
    <row r="107" spans="1:126" ht="12.75">
      <c r="A107" s="16"/>
      <c r="B107" s="16"/>
      <c r="C107" s="97"/>
      <c r="D107" s="97"/>
      <c r="E107" s="97"/>
      <c r="G107" s="97"/>
      <c r="I107" s="97"/>
      <c r="K107" s="16"/>
      <c r="M107" s="16"/>
      <c r="O107" s="16"/>
      <c r="Q107" s="16"/>
      <c r="S107" s="16"/>
      <c r="T107" s="16"/>
      <c r="V107" s="16"/>
      <c r="X107" s="16"/>
      <c r="Z107" s="16"/>
      <c r="AC107" s="16"/>
      <c r="AD107" s="16"/>
      <c r="AE107" s="16"/>
      <c r="AG107" s="16"/>
      <c r="AH107" s="16"/>
      <c r="AI107" s="16"/>
      <c r="AJ107" s="16"/>
      <c r="AK107" s="16"/>
      <c r="AQ107" s="16"/>
      <c r="BF107" s="16"/>
      <c r="BH107" s="25"/>
      <c r="BJ107" s="25"/>
      <c r="BL107" s="16"/>
      <c r="BP107" s="16"/>
      <c r="BR107" s="16"/>
      <c r="BW107" s="16"/>
      <c r="BY107" s="16"/>
      <c r="CA107" s="16"/>
      <c r="CC107" s="16"/>
      <c r="CG107" s="16"/>
      <c r="CI107" s="16"/>
      <c r="CK107" s="16"/>
      <c r="CL107" s="16"/>
      <c r="CN107" s="16"/>
      <c r="CP107" s="16"/>
      <c r="CQ107" s="16"/>
      <c r="CR107" s="16"/>
      <c r="CS107" s="16"/>
      <c r="CT107" s="16"/>
      <c r="CX107" s="16"/>
      <c r="CY107" s="16"/>
      <c r="DA107" s="16"/>
      <c r="DC107" s="16"/>
      <c r="DE107" s="16"/>
      <c r="DG107" s="16"/>
      <c r="DI107" s="16"/>
      <c r="DK107" s="16"/>
      <c r="DM107" s="16"/>
      <c r="DN107" s="16"/>
      <c r="DP107" s="16"/>
      <c r="DV107" s="16"/>
    </row>
    <row r="108" spans="1:126" ht="12.75">
      <c r="A108" s="16"/>
      <c r="B108" s="16"/>
      <c r="C108" s="97"/>
      <c r="D108" s="97"/>
      <c r="E108" s="97"/>
      <c r="G108" s="97"/>
      <c r="I108" s="97"/>
      <c r="K108" s="16"/>
      <c r="M108" s="16"/>
      <c r="O108" s="16"/>
      <c r="Q108" s="16"/>
      <c r="S108" s="16"/>
      <c r="T108" s="16"/>
      <c r="V108" s="16"/>
      <c r="X108" s="16"/>
      <c r="Z108" s="16"/>
      <c r="AC108" s="16"/>
      <c r="AD108" s="16"/>
      <c r="AE108" s="16"/>
      <c r="AG108" s="16"/>
      <c r="AH108" s="16"/>
      <c r="AI108" s="16"/>
      <c r="AJ108" s="16"/>
      <c r="AK108" s="16"/>
      <c r="AQ108" s="16"/>
      <c r="BF108" s="16"/>
      <c r="BH108" s="25"/>
      <c r="BJ108" s="25"/>
      <c r="BL108" s="16"/>
      <c r="BP108" s="16"/>
      <c r="BR108" s="16"/>
      <c r="BW108" s="16"/>
      <c r="BY108" s="16"/>
      <c r="CA108" s="16"/>
      <c r="CC108" s="16"/>
      <c r="CG108" s="16"/>
      <c r="CI108" s="16"/>
      <c r="CK108" s="16"/>
      <c r="CL108" s="16"/>
      <c r="CN108" s="16"/>
      <c r="CP108" s="16"/>
      <c r="CQ108" s="16"/>
      <c r="CR108" s="16"/>
      <c r="CS108" s="16"/>
      <c r="CT108" s="16"/>
      <c r="CX108" s="16"/>
      <c r="CY108" s="16"/>
      <c r="DA108" s="16"/>
      <c r="DC108" s="16"/>
      <c r="DE108" s="16"/>
      <c r="DG108" s="16"/>
      <c r="DI108" s="16"/>
      <c r="DK108" s="16"/>
      <c r="DM108" s="16"/>
      <c r="DN108" s="16"/>
      <c r="DP108" s="16"/>
      <c r="DV108" s="16"/>
    </row>
    <row r="109" spans="1:126" ht="12.75">
      <c r="A109" s="16"/>
      <c r="B109" s="16"/>
      <c r="C109" s="97"/>
      <c r="D109" s="97"/>
      <c r="E109" s="97"/>
      <c r="G109" s="97"/>
      <c r="I109" s="97"/>
      <c r="K109" s="16"/>
      <c r="M109" s="16"/>
      <c r="O109" s="16"/>
      <c r="Q109" s="16"/>
      <c r="S109" s="16"/>
      <c r="T109" s="16"/>
      <c r="V109" s="16"/>
      <c r="X109" s="16"/>
      <c r="Z109" s="16"/>
      <c r="AC109" s="16"/>
      <c r="AD109" s="16"/>
      <c r="AE109" s="16"/>
      <c r="AG109" s="16"/>
      <c r="AH109" s="16"/>
      <c r="AI109" s="16"/>
      <c r="AJ109" s="16"/>
      <c r="AK109" s="16"/>
      <c r="AQ109" s="16"/>
      <c r="BF109" s="16"/>
      <c r="BH109" s="25"/>
      <c r="BJ109" s="25"/>
      <c r="BL109" s="16"/>
      <c r="BP109" s="16"/>
      <c r="BR109" s="16"/>
      <c r="BW109" s="16"/>
      <c r="BY109" s="16"/>
      <c r="CA109" s="16"/>
      <c r="CC109" s="16"/>
      <c r="CG109" s="16"/>
      <c r="CI109" s="16"/>
      <c r="CK109" s="16"/>
      <c r="CL109" s="16"/>
      <c r="CN109" s="16"/>
      <c r="CP109" s="16"/>
      <c r="CQ109" s="16"/>
      <c r="CR109" s="16"/>
      <c r="CS109" s="16"/>
      <c r="CT109" s="16"/>
      <c r="CX109" s="16"/>
      <c r="CY109" s="16"/>
      <c r="DA109" s="16"/>
      <c r="DC109" s="16"/>
      <c r="DE109" s="16"/>
      <c r="DG109" s="16"/>
      <c r="DI109" s="16"/>
      <c r="DK109" s="16"/>
      <c r="DM109" s="16"/>
      <c r="DN109" s="16"/>
      <c r="DP109" s="16"/>
      <c r="DV109" s="16"/>
    </row>
    <row r="110" spans="1:126" ht="12.75">
      <c r="A110" s="16"/>
      <c r="B110" s="16"/>
      <c r="C110" s="97"/>
      <c r="D110" s="97"/>
      <c r="E110" s="97"/>
      <c r="G110" s="97"/>
      <c r="I110" s="97"/>
      <c r="K110" s="16"/>
      <c r="M110" s="16"/>
      <c r="O110" s="16"/>
      <c r="Q110" s="16"/>
      <c r="S110" s="16"/>
      <c r="T110" s="16"/>
      <c r="V110" s="16"/>
      <c r="X110" s="16"/>
      <c r="Z110" s="16"/>
      <c r="AC110" s="16"/>
      <c r="AD110" s="16"/>
      <c r="AE110" s="16"/>
      <c r="AG110" s="16"/>
      <c r="AH110" s="16"/>
      <c r="AI110" s="16"/>
      <c r="AJ110" s="16"/>
      <c r="AK110" s="16"/>
      <c r="AQ110" s="16"/>
      <c r="BF110" s="16"/>
      <c r="BH110" s="25"/>
      <c r="BJ110" s="25"/>
      <c r="BL110" s="16"/>
      <c r="BP110" s="16"/>
      <c r="BR110" s="16"/>
      <c r="BW110" s="16"/>
      <c r="BY110" s="16"/>
      <c r="CA110" s="16"/>
      <c r="CC110" s="16"/>
      <c r="CG110" s="16"/>
      <c r="CI110" s="16"/>
      <c r="CK110" s="16"/>
      <c r="CL110" s="16"/>
      <c r="CN110" s="16"/>
      <c r="CP110" s="16"/>
      <c r="CQ110" s="16"/>
      <c r="CR110" s="16"/>
      <c r="CS110" s="16"/>
      <c r="CT110" s="16"/>
      <c r="CX110" s="16"/>
      <c r="CY110" s="16"/>
      <c r="DA110" s="16"/>
      <c r="DC110" s="16"/>
      <c r="DE110" s="16"/>
      <c r="DG110" s="16"/>
      <c r="DI110" s="16"/>
      <c r="DK110" s="16"/>
      <c r="DM110" s="16"/>
      <c r="DN110" s="16"/>
      <c r="DP110" s="16"/>
      <c r="DV110" s="16"/>
    </row>
    <row r="111" spans="1:126" ht="12.75">
      <c r="A111" s="16"/>
      <c r="B111" s="16"/>
      <c r="C111" s="97"/>
      <c r="D111" s="97"/>
      <c r="E111" s="97"/>
      <c r="G111" s="97"/>
      <c r="I111" s="97"/>
      <c r="K111" s="16"/>
      <c r="M111" s="16"/>
      <c r="O111" s="16"/>
      <c r="Q111" s="16"/>
      <c r="S111" s="16"/>
      <c r="T111" s="16"/>
      <c r="V111" s="16"/>
      <c r="X111" s="16"/>
      <c r="Z111" s="16"/>
      <c r="AC111" s="16"/>
      <c r="AD111" s="16"/>
      <c r="AE111" s="16"/>
      <c r="AG111" s="16"/>
      <c r="AH111" s="16"/>
      <c r="AI111" s="16"/>
      <c r="AJ111" s="16"/>
      <c r="AK111" s="16"/>
      <c r="AQ111" s="16"/>
      <c r="BF111" s="16"/>
      <c r="BH111" s="25"/>
      <c r="BJ111" s="25"/>
      <c r="BL111" s="16"/>
      <c r="BP111" s="16"/>
      <c r="BR111" s="16"/>
      <c r="BW111" s="16"/>
      <c r="BY111" s="16"/>
      <c r="CA111" s="16"/>
      <c r="CC111" s="16"/>
      <c r="CG111" s="16"/>
      <c r="CI111" s="16"/>
      <c r="CK111" s="16"/>
      <c r="CL111" s="16"/>
      <c r="CN111" s="16"/>
      <c r="CP111" s="16"/>
      <c r="CQ111" s="16"/>
      <c r="CR111" s="16"/>
      <c r="CS111" s="16"/>
      <c r="CT111" s="16"/>
      <c r="CX111" s="16"/>
      <c r="CY111" s="16"/>
      <c r="DA111" s="16"/>
      <c r="DC111" s="16"/>
      <c r="DE111" s="16"/>
      <c r="DG111" s="16"/>
      <c r="DI111" s="16"/>
      <c r="DK111" s="16"/>
      <c r="DM111" s="16"/>
      <c r="DN111" s="16"/>
      <c r="DP111" s="16"/>
      <c r="DV111" s="16"/>
    </row>
    <row r="112" spans="1:126" ht="12.75">
      <c r="A112" s="16"/>
      <c r="B112" s="16"/>
      <c r="C112" s="97"/>
      <c r="D112" s="97"/>
      <c r="E112" s="97"/>
      <c r="G112" s="97"/>
      <c r="I112" s="97"/>
      <c r="K112" s="16"/>
      <c r="M112" s="16"/>
      <c r="O112" s="16"/>
      <c r="Q112" s="16"/>
      <c r="S112" s="16"/>
      <c r="T112" s="16"/>
      <c r="V112" s="16"/>
      <c r="X112" s="16"/>
      <c r="Z112" s="16"/>
      <c r="AC112" s="16"/>
      <c r="AD112" s="16"/>
      <c r="AE112" s="16"/>
      <c r="AG112" s="16"/>
      <c r="AH112" s="16"/>
      <c r="AI112" s="16"/>
      <c r="AJ112" s="16"/>
      <c r="AK112" s="16"/>
      <c r="AQ112" s="16"/>
      <c r="BF112" s="16"/>
      <c r="BH112" s="25"/>
      <c r="BJ112" s="25"/>
      <c r="BL112" s="16"/>
      <c r="BP112" s="16"/>
      <c r="BR112" s="16"/>
      <c r="BW112" s="16"/>
      <c r="BY112" s="16"/>
      <c r="CA112" s="16"/>
      <c r="CC112" s="16"/>
      <c r="CG112" s="16"/>
      <c r="CI112" s="16"/>
      <c r="CK112" s="16"/>
      <c r="CL112" s="16"/>
      <c r="CN112" s="16"/>
      <c r="CP112" s="16"/>
      <c r="CQ112" s="16"/>
      <c r="CR112" s="16"/>
      <c r="CS112" s="16"/>
      <c r="CT112" s="16"/>
      <c r="CX112" s="16"/>
      <c r="CY112" s="16"/>
      <c r="DA112" s="16"/>
      <c r="DC112" s="16"/>
      <c r="DE112" s="16"/>
      <c r="DG112" s="16"/>
      <c r="DI112" s="16"/>
      <c r="DK112" s="16"/>
      <c r="DM112" s="16"/>
      <c r="DN112" s="16"/>
      <c r="DP112" s="16"/>
      <c r="DV112" s="16"/>
    </row>
    <row r="113" spans="1:126" ht="12.75">
      <c r="A113" s="16"/>
      <c r="B113" s="16"/>
      <c r="C113" s="97"/>
      <c r="D113" s="97"/>
      <c r="E113" s="97"/>
      <c r="G113" s="97"/>
      <c r="I113" s="97"/>
      <c r="K113" s="16"/>
      <c r="M113" s="16"/>
      <c r="O113" s="16"/>
      <c r="Q113" s="16"/>
      <c r="S113" s="16"/>
      <c r="T113" s="16"/>
      <c r="V113" s="16"/>
      <c r="X113" s="16"/>
      <c r="Z113" s="16"/>
      <c r="AC113" s="16"/>
      <c r="AD113" s="16"/>
      <c r="AE113" s="16"/>
      <c r="AG113" s="16"/>
      <c r="AH113" s="16"/>
      <c r="AI113" s="16"/>
      <c r="AJ113" s="16"/>
      <c r="AK113" s="16"/>
      <c r="AQ113" s="16"/>
      <c r="BF113" s="16"/>
      <c r="BH113" s="25"/>
      <c r="BJ113" s="25"/>
      <c r="BL113" s="16"/>
      <c r="BP113" s="16"/>
      <c r="BR113" s="16"/>
      <c r="BW113" s="16"/>
      <c r="BY113" s="16"/>
      <c r="CA113" s="16"/>
      <c r="CC113" s="16"/>
      <c r="CG113" s="16"/>
      <c r="CI113" s="16"/>
      <c r="CK113" s="16"/>
      <c r="CL113" s="16"/>
      <c r="CN113" s="16"/>
      <c r="CP113" s="16"/>
      <c r="CQ113" s="16"/>
      <c r="CR113" s="16"/>
      <c r="CS113" s="16"/>
      <c r="CT113" s="16"/>
      <c r="CX113" s="16"/>
      <c r="CY113" s="16"/>
      <c r="DA113" s="16"/>
      <c r="DC113" s="16"/>
      <c r="DE113" s="16"/>
      <c r="DG113" s="16"/>
      <c r="DI113" s="16"/>
      <c r="DK113" s="16"/>
      <c r="DM113" s="16"/>
      <c r="DN113" s="16"/>
      <c r="DP113" s="16"/>
      <c r="DV113" s="16"/>
    </row>
    <row r="114" spans="1:126" ht="12.75">
      <c r="A114" s="16"/>
      <c r="B114" s="16"/>
      <c r="C114" s="97"/>
      <c r="D114" s="97"/>
      <c r="E114" s="97"/>
      <c r="G114" s="97"/>
      <c r="I114" s="97"/>
      <c r="K114" s="16"/>
      <c r="M114" s="16"/>
      <c r="O114" s="16"/>
      <c r="Q114" s="16"/>
      <c r="S114" s="16"/>
      <c r="T114" s="16"/>
      <c r="V114" s="16"/>
      <c r="X114" s="16"/>
      <c r="Z114" s="16"/>
      <c r="AC114" s="16"/>
      <c r="AD114" s="16"/>
      <c r="AE114" s="16"/>
      <c r="AG114" s="16"/>
      <c r="AH114" s="16"/>
      <c r="AI114" s="16"/>
      <c r="AJ114" s="16"/>
      <c r="AK114" s="16"/>
      <c r="AQ114" s="16"/>
      <c r="BF114" s="16"/>
      <c r="BH114" s="25"/>
      <c r="BJ114" s="25"/>
      <c r="BL114" s="16"/>
      <c r="BP114" s="16"/>
      <c r="BR114" s="16"/>
      <c r="BW114" s="16"/>
      <c r="BY114" s="16"/>
      <c r="CA114" s="16"/>
      <c r="CC114" s="16"/>
      <c r="CG114" s="16"/>
      <c r="CI114" s="16"/>
      <c r="CK114" s="16"/>
      <c r="CL114" s="16"/>
      <c r="CN114" s="16"/>
      <c r="CP114" s="16"/>
      <c r="CQ114" s="16"/>
      <c r="CR114" s="16"/>
      <c r="CS114" s="16"/>
      <c r="CT114" s="16"/>
      <c r="CX114" s="16"/>
      <c r="CY114" s="16"/>
      <c r="DA114" s="16"/>
      <c r="DC114" s="16"/>
      <c r="DE114" s="16"/>
      <c r="DG114" s="16"/>
      <c r="DI114" s="16"/>
      <c r="DK114" s="16"/>
      <c r="DM114" s="16"/>
      <c r="DN114" s="16"/>
      <c r="DP114" s="16"/>
      <c r="DV114" s="16"/>
    </row>
    <row r="115" spans="1:126" ht="12.75">
      <c r="A115" s="16"/>
      <c r="B115" s="16"/>
      <c r="C115" s="97"/>
      <c r="D115" s="97"/>
      <c r="E115" s="97"/>
      <c r="G115" s="97"/>
      <c r="I115" s="97"/>
      <c r="K115" s="16"/>
      <c r="M115" s="16"/>
      <c r="O115" s="16"/>
      <c r="Q115" s="16"/>
      <c r="S115" s="16"/>
      <c r="T115" s="16"/>
      <c r="V115" s="16"/>
      <c r="X115" s="16"/>
      <c r="Z115" s="16"/>
      <c r="AC115" s="16"/>
      <c r="AD115" s="16"/>
      <c r="AE115" s="16"/>
      <c r="AG115" s="16"/>
      <c r="AH115" s="16"/>
      <c r="AI115" s="16"/>
      <c r="AJ115" s="16"/>
      <c r="AK115" s="16"/>
      <c r="AQ115" s="16"/>
      <c r="BF115" s="16"/>
      <c r="BH115" s="25"/>
      <c r="BJ115" s="25"/>
      <c r="BL115" s="16"/>
      <c r="BP115" s="16"/>
      <c r="BR115" s="16"/>
      <c r="BW115" s="16"/>
      <c r="BY115" s="16"/>
      <c r="CA115" s="16"/>
      <c r="CC115" s="16"/>
      <c r="CG115" s="16"/>
      <c r="CI115" s="16"/>
      <c r="CK115" s="16"/>
      <c r="CL115" s="16"/>
      <c r="CN115" s="16"/>
      <c r="CP115" s="16"/>
      <c r="CQ115" s="16"/>
      <c r="CR115" s="16"/>
      <c r="CS115" s="16"/>
      <c r="CT115" s="16"/>
      <c r="CX115" s="16"/>
      <c r="CY115" s="16"/>
      <c r="DA115" s="16"/>
      <c r="DC115" s="16"/>
      <c r="DE115" s="16"/>
      <c r="DG115" s="16"/>
      <c r="DI115" s="16"/>
      <c r="DK115" s="16"/>
      <c r="DM115" s="16"/>
      <c r="DN115" s="16"/>
      <c r="DP115" s="16"/>
      <c r="DV115" s="16"/>
    </row>
    <row r="116" spans="1:126" ht="12.75">
      <c r="A116" s="16"/>
      <c r="B116" s="16"/>
      <c r="C116" s="97"/>
      <c r="D116" s="97"/>
      <c r="E116" s="97"/>
      <c r="G116" s="97"/>
      <c r="I116" s="97"/>
      <c r="K116" s="16"/>
      <c r="M116" s="16"/>
      <c r="O116" s="16"/>
      <c r="Q116" s="16"/>
      <c r="S116" s="16"/>
      <c r="T116" s="16"/>
      <c r="V116" s="16"/>
      <c r="X116" s="16"/>
      <c r="Z116" s="16"/>
      <c r="AC116" s="16"/>
      <c r="AD116" s="16"/>
      <c r="AE116" s="16"/>
      <c r="AG116" s="16"/>
      <c r="AH116" s="16"/>
      <c r="AI116" s="16"/>
      <c r="AJ116" s="16"/>
      <c r="AK116" s="16"/>
      <c r="AQ116" s="16"/>
      <c r="BF116" s="16"/>
      <c r="BH116" s="25"/>
      <c r="BJ116" s="25"/>
      <c r="BL116" s="16"/>
      <c r="BP116" s="16"/>
      <c r="BR116" s="16"/>
      <c r="BW116" s="16"/>
      <c r="BY116" s="16"/>
      <c r="CA116" s="16"/>
      <c r="CC116" s="16"/>
      <c r="CG116" s="16"/>
      <c r="CI116" s="16"/>
      <c r="CK116" s="16"/>
      <c r="CL116" s="16"/>
      <c r="CN116" s="16"/>
      <c r="CP116" s="16"/>
      <c r="CQ116" s="16"/>
      <c r="CR116" s="16"/>
      <c r="CS116" s="16"/>
      <c r="CT116" s="16"/>
      <c r="CX116" s="16"/>
      <c r="CY116" s="16"/>
      <c r="DA116" s="16"/>
      <c r="DC116" s="16"/>
      <c r="DE116" s="16"/>
      <c r="DG116" s="16"/>
      <c r="DI116" s="16"/>
      <c r="DK116" s="16"/>
      <c r="DM116" s="16"/>
      <c r="DN116" s="16"/>
      <c r="DP116" s="16"/>
      <c r="DV116" s="16"/>
    </row>
    <row r="117" spans="1:126" ht="12.75">
      <c r="A117" s="16"/>
      <c r="B117" s="16"/>
      <c r="C117" s="97"/>
      <c r="D117" s="97"/>
      <c r="E117" s="97"/>
      <c r="G117" s="97"/>
      <c r="I117" s="97"/>
      <c r="K117" s="16"/>
      <c r="M117" s="16"/>
      <c r="O117" s="16"/>
      <c r="Q117" s="16"/>
      <c r="S117" s="16"/>
      <c r="T117" s="16"/>
      <c r="V117" s="16"/>
      <c r="X117" s="16"/>
      <c r="Z117" s="16"/>
      <c r="AC117" s="16"/>
      <c r="AD117" s="16"/>
      <c r="AE117" s="16"/>
      <c r="AG117" s="16"/>
      <c r="AH117" s="16"/>
      <c r="AI117" s="16"/>
      <c r="AJ117" s="16"/>
      <c r="AK117" s="16"/>
      <c r="AQ117" s="16"/>
      <c r="BF117" s="16"/>
      <c r="BH117" s="25"/>
      <c r="BJ117" s="25"/>
      <c r="BL117" s="16"/>
      <c r="BP117" s="16"/>
      <c r="BR117" s="16"/>
      <c r="BW117" s="16"/>
      <c r="BY117" s="16"/>
      <c r="CA117" s="16"/>
      <c r="CC117" s="16"/>
      <c r="CG117" s="16"/>
      <c r="CI117" s="16"/>
      <c r="CK117" s="16"/>
      <c r="CL117" s="16"/>
      <c r="CN117" s="16"/>
      <c r="CP117" s="16"/>
      <c r="CQ117" s="16"/>
      <c r="CR117" s="16"/>
      <c r="CS117" s="16"/>
      <c r="CT117" s="16"/>
      <c r="CX117" s="16"/>
      <c r="CY117" s="16"/>
      <c r="DA117" s="16"/>
      <c r="DC117" s="16"/>
      <c r="DE117" s="16"/>
      <c r="DG117" s="16"/>
      <c r="DI117" s="16"/>
      <c r="DK117" s="16"/>
      <c r="DM117" s="16"/>
      <c r="DN117" s="16"/>
      <c r="DP117" s="16"/>
      <c r="DV117" s="16"/>
    </row>
  </sheetData>
  <sheetProtection/>
  <mergeCells count="23">
    <mergeCell ref="DG4:DP4"/>
    <mergeCell ref="BJ4:BN4"/>
    <mergeCell ref="BP4:BW4"/>
    <mergeCell ref="B4:Z4"/>
    <mergeCell ref="CA4:CG4"/>
    <mergeCell ref="CI4:CV4"/>
    <mergeCell ref="CX4:DE4"/>
    <mergeCell ref="EK4:EK6"/>
    <mergeCell ref="EE4:EF4"/>
    <mergeCell ref="B5:C5"/>
    <mergeCell ref="AG5:AH5"/>
    <mergeCell ref="AJ5:AL5"/>
    <mergeCell ref="BT5:BU5"/>
    <mergeCell ref="DR5:DR6"/>
    <mergeCell ref="AC4:BB4"/>
    <mergeCell ref="BD4:BH4"/>
    <mergeCell ref="S5:T5"/>
    <mergeCell ref="BT7:BU7"/>
    <mergeCell ref="DM5:DN5"/>
    <mergeCell ref="AC5:AE5"/>
    <mergeCell ref="CK5:CL5"/>
    <mergeCell ref="CX5:CY5"/>
    <mergeCell ref="CA5:CC5"/>
  </mergeCells>
  <hyperlinks>
    <hyperlink ref="AF80" r:id="rId1" display="Reading First State Grants"/>
    <hyperlink ref="AF81" r:id="rId2" display="Even Start"/>
    <hyperlink ref="AF84" r:id="rId3" display="N&amp;D"/>
    <hyperlink ref="AF5" r:id="rId4" display="State Assessments"/>
    <hyperlink ref="AF7" location="'Ian Soper'!A163:U236" display="Career, Technical, and Adult Education State Grants"/>
    <hyperlink ref="AF1" r:id="rId5" display="Reading First State Grants"/>
    <hyperlink ref="AE80" r:id="rId6" display="Reading First State Grants"/>
    <hyperlink ref="AE81" r:id="rId7" display="Even Start"/>
    <hyperlink ref="AE84" r:id="rId8" display="N&amp;D"/>
    <hyperlink ref="AE5" r:id="rId9" display="State Assessments"/>
    <hyperlink ref="AE7" location="'Ian Soper'!A163:U236" display="Career, Technical, and Adult Education State Grants"/>
    <hyperlink ref="AE1" r:id="rId10" display="Reading First State Grants"/>
    <hyperlink ref="BV80:BW80" r:id="rId11" display="Reading First State Grants"/>
    <hyperlink ref="BV81:BW81" r:id="rId12" display="Even Start"/>
    <hyperlink ref="BV84:BW84" r:id="rId13" display="N&amp;D"/>
    <hyperlink ref="BV1:BW1" r:id="rId14" display="Reading First State Grants"/>
    <hyperlink ref="AL80" r:id="rId15" display="Reading First State Grants"/>
    <hyperlink ref="AL81" r:id="rId16" display="Even Start"/>
    <hyperlink ref="AL84" r:id="rId17" display="N&amp;D"/>
    <hyperlink ref="AL5" r:id="rId18" display="State Assessments"/>
    <hyperlink ref="AL7" location="'Ian Soper'!A163:U236" display="Career, Technical, and Adult Education State Grants"/>
    <hyperlink ref="AL1" r:id="rId19" display="21st Century Community Learning Centers"/>
    <hyperlink ref="AL2" r:id="rId20" display="Reading First State Grants"/>
    <hyperlink ref="AY1" r:id="rId21" display="21st Century Community Learning Centers"/>
    <hyperlink ref="AY2" r:id="rId22" display="Reading First State Grants"/>
    <hyperlink ref="AO1" r:id="rId23" display="State Assessments"/>
    <hyperlink ref="AO3" location="'Ian Soper'!A163:U236" display="Career, Technical, and Adult Education State Grants"/>
    <hyperlink ref="ED80" r:id="rId24" display="Reading First State Grants"/>
    <hyperlink ref="ED81" r:id="rId25" display="Even Start"/>
    <hyperlink ref="ED84" r:id="rId26" display="N&amp;D"/>
    <hyperlink ref="EA69" r:id="rId27" display="http://www.ed.gov/about/overview/budget/statetables/10stbyprogram.pdf"/>
    <hyperlink ref="AN69" r:id="rId28" display="http://www.ed.gov/about/overview/budget/statetables/index.html"/>
    <hyperlink ref="AP69" r:id="rId29" display="http://www.ed.gov/about/overview/budget/statetables/index.html"/>
    <hyperlink ref="AR69" r:id="rId30" display="http://www.ed.gov/about/overview/budget/statetables/index.html"/>
    <hyperlink ref="AT69" r:id="rId31" display="http://www.ed.gov/about/overview/budget/statetables/index.html"/>
    <hyperlink ref="AV69" r:id="rId32" display="http://www.ed.gov/about/overview/budget/statetables/index.html"/>
    <hyperlink ref="AX69" r:id="rId33" display="http://www.ed.gov/about/overview/budget/statetables/index.html"/>
    <hyperlink ref="AZ69" r:id="rId34" display="http://www.ed.gov/about/overview/budget/statetables/index.html"/>
    <hyperlink ref="BB69" r:id="rId35" display="http://www.ed.gov/about/overview/budget/statetables/index.html"/>
    <hyperlink ref="CC69" r:id="rId36" display="http://www.fns.usda.gov/fdd/programs/tefap/tefap_ARRA_030209.pdf"/>
    <hyperlink ref="CG69" r:id="rId37" display="http://www.fns.usda.gov/CND/Governance/Policy-Memos/2009/SP_18-2009_os.pdf"/>
    <hyperlink ref="EB69" r:id="rId38" display="http://www.cbpp.org/files/1-22-09bud.pdf"/>
    <hyperlink ref="AC69" r:id="rId39" display="http://www.ed.gov/about/overview/budget/statetables/index.html"/>
    <hyperlink ref="AD69" r:id="rId40" display="http://www.ed.gov/about/overview/budget/statetables/index.html"/>
    <hyperlink ref="AG69" r:id="rId41" display="http://www.ed.gov/about/overview/budget/statetables/index.html"/>
    <hyperlink ref="AH69" r:id="rId42" display="http://www.ed.gov/about/overview/budget/statetables/index.html"/>
    <hyperlink ref="AJ69" r:id="rId43" display="http://www.ed.gov/about/overview/budget/statetables/index.html"/>
    <hyperlink ref="AK69" r:id="rId44" display="http://www.ed.gov/about/overview/budget/statetables/index.html"/>
    <hyperlink ref="AL69" r:id="rId45" display="http://www.ed.gov/about/overview/budget/statetables/index.html"/>
    <hyperlink ref="EI69" r:id="rId46" display="http://www.workforcesecurity.doleta.gov/unemploy/laws.asp#modern"/>
    <hyperlink ref="CX69" r:id="rId47" display="http://www.ojp.usdoj.gov/ovc/fund/recoverycvfa2009.html"/>
    <hyperlink ref="CY69" r:id="rId48" display="http://www.ojp.usdoj.gov/ovc/fund/recoverycvfa2009.html"/>
    <hyperlink ref="DA69" r:id="rId49" display="http://www.ojp.usdoj.gov/recovery/awards.htm"/>
    <hyperlink ref="DE69" r:id="rId50" display="http://www.ojp.usdoj.gov/recovery/awards.htm"/>
    <hyperlink ref="DC69" r:id="rId51" display="http://www.ovw.usdoj.gov/recovery-grants-awards.htm"/>
    <hyperlink ref="DR69" r:id="rId52" display="http://www.nationalservice.gov/about/newsroom/releases_detail.asp?tbl_pr_id=1340#ARGSF"/>
    <hyperlink ref="EJ69" r:id="rId53" display="http://www.acf.hhs.gov/programs/ofa/policy/pa-ofa/2009/pa200901a.htm"/>
    <hyperlink ref="DG69" r:id="rId54" display="http://www.dol.gov/recovery/map/map-eta.htm"/>
    <hyperlink ref="DI69" r:id="rId55" display="http://www.dol.gov/recovery/map/map-eta.htm"/>
    <hyperlink ref="DM69" r:id="rId56" display="http://www.dol.gov/recovery/map/map-eta.htm"/>
    <hyperlink ref="DN69" r:id="rId57" display="http://www.dol.gov/recovery/map/map-eta.htm"/>
    <hyperlink ref="DP69" r:id="rId58" display="http://www.dol.gov/recovery/map/map-eta.htm"/>
    <hyperlink ref="M69" r:id="rId59" display="http://transparency.cit.nih.gov/RecoveryGrants/grant.cfm?grant=nap"/>
    <hyperlink ref="O69" r:id="rId60" display="http://transparency.cit.nih.gov/RecoveryGrants/grant.cfm?grant=IncreasedDemand"/>
    <hyperlink ref="Q69" r:id="rId61" display="http://transparency.cit.nih.gov/RecoveryGrants/grant.cfm?grant=vaccines"/>
    <hyperlink ref="BD69" r:id="rId62" display="http://www.fhwa.dot.gov/legsregs/directives/notices/n4510705.htm"/>
    <hyperlink ref="BF69" r:id="rId63" display="http://www.fta.dot.gov/index_9440_9289.html"/>
    <hyperlink ref="BH69" r:id="rId64" display="http://edocket.access.gpo.gov/2009/pdf/E9-4745.pdf"/>
    <hyperlink ref="BJ69" r:id="rId65" display="http://www.epa.gov/water/eparecovery/docs/Final_SRF_eco_recovery_allotments.pdf"/>
    <hyperlink ref="BL69" r:id="rId66" display="http://www.epa.gov/water/eparecovery/docs/Final_SRF_eco_recovery_allotments.pdf"/>
    <hyperlink ref="BN69" r:id="rId67" display="http://www.epa.gov/swerust1/eparecovery/statealloc.htm"/>
    <hyperlink ref="BU69" r:id="rId68" display="http://www.eecbg.energy.gov/grantees/default.html"/>
    <hyperlink ref="BT69" r:id="rId69" display="http://www.eecbg.energy.gov/grantees/default.html"/>
    <hyperlink ref="BW69" r:id="rId70" display="http://www.energy.gov/recovery/documents/EE_EnergyStar_State_Allocations.pdf"/>
    <hyperlink ref="CK69" r:id="rId71" display="http://portal.hud.gov/pls/portal/url/ITEM/68ABC226D879255DE04400144F9D3D85"/>
    <hyperlink ref="CR69" r:id="rId72" display="http://portal.hud.gov/pls/portal/url/ITEM/6B0FC9AE3FE858FFE04400144F9D3D85"/>
    <hyperlink ref="CT69" r:id="rId73" display="http://portal.hud.gov/pls/portal/url/ITEM/6B0E6B59D97F468BE04400144F9D3D85"/>
    <hyperlink ref="CV69" r:id="rId74" display="http://portal.hud.gov/pls/portal/url/ITEM/6B11841584926E71E04400144F9D3D85"/>
    <hyperlink ref="EK69" r:id="rId75" display="http://www.dol.gov/opa/media/press/eta/eta20090637.htm"/>
    <hyperlink ref="DK69" r:id="rId76" display="http://www.dol.gov/recovery/map/map-eta.htm"/>
    <hyperlink ref="BY69" r:id="rId77" display="http://www.fema.gov/government/grant/efs2009.shtm "/>
    <hyperlink ref="B74" r:id="rId78" display="http://www.cms.hhs.gov/SMDL/SMD/itemdetail.asp?filterType=none&amp;filterByDID=0&amp;sortByDID=1&amp;sortOrder=descending&amp;itemID=CMS1227962&amp;intNumPerPage=10"/>
    <hyperlink ref="C74" r:id="rId79" display="http://www.cms.hhs.gov/SMDL/SMD/itemdetail.asp?filterType=none&amp;filterByDID=0&amp;sortByDID=1&amp;sortOrder=descending&amp;itemID=CMS1227962&amp;intNumPerPage=10"/>
    <hyperlink ref="G74" r:id="rId80" display="http://www.acf.hhs.gov/programs/cb/laws_policies/policy/pi/2009/pi0903.htm"/>
    <hyperlink ref="K74" r:id="rId81" display="http://bphc.hrsa.gov/recovery/cip/"/>
    <hyperlink ref="O74" r:id="rId82" display="http://bphc.hrsa.gov/recovery/ids/"/>
    <hyperlink ref="M74" r:id="rId83" display="http://bphc.hrsa.gov/recovery/"/>
    <hyperlink ref="Q74" r:id="rId84" display="http://www.hhs.gov/recovery/programs/cdc/immunizationgrant.html"/>
    <hyperlink ref="AC74" r:id="rId85" display="http://www.ed.gov/policy/gen/leg/recovery/programs.html"/>
    <hyperlink ref="AD74" r:id="rId86" display="http://www.ed.gov/policy/gen/leg/recovery/programs.html"/>
    <hyperlink ref="AG74" r:id="rId87" display="http://www.ed.gov/policy/gen/leg/recovery/programs.html"/>
    <hyperlink ref="AH74" r:id="rId88" display="http://www.ed.gov/policy/gen/leg/recovery/programs.html"/>
    <hyperlink ref="AJ74" r:id="rId89" display="http://www.ed.gov/policy/gen/leg/recovery/programs.html"/>
    <hyperlink ref="AK74" r:id="rId90" display="http://www.ed.gov/policy/gen/leg/recovery/programs.html"/>
    <hyperlink ref="AL74" r:id="rId91" display="http://www.ed.gov/policy/gen/leg/recovery/programs.html"/>
    <hyperlink ref="BB74" r:id="rId92" display="http://www.ed.gov/policy/gen/leg/recovery/programs.html"/>
    <hyperlink ref="AZ74" r:id="rId93" display="http://www.ed.gov/policy/gen/leg/recovery/programs.html"/>
    <hyperlink ref="AX74" r:id="rId94" display="http://www.ed.gov/policy/gen/leg/recovery/programs.html"/>
    <hyperlink ref="AV74" r:id="rId95" display="http://www.ed.gov/policy/gen/leg/recovery/programs.html"/>
    <hyperlink ref="AT74" r:id="rId96" display="http://www.ed.gov/policy/gen/leg/recovery/programs.html"/>
    <hyperlink ref="AR74" r:id="rId97" display="http://www.ed.gov/policy/gen/leg/recovery/programs.html"/>
    <hyperlink ref="AP74" r:id="rId98" display="http://www.ed.gov/policy/gen/leg/recovery/programs.html"/>
    <hyperlink ref="AN74" r:id="rId99" display="http://www.ed.gov/policy/gen/leg/recovery/programs.html"/>
    <hyperlink ref="BD74" r:id="rId100" display="http://www.fhwa.dot.gov/economicrecovery/guidancelist.htm"/>
    <hyperlink ref="BH74" r:id="rId101" display="http://www.fta.dot.gov/index_9440_9922.html"/>
    <hyperlink ref="BF74" r:id="rId102" display="http://www.fta.dot.gov/index_9440_9917.html"/>
    <hyperlink ref="BL74" r:id="rId103" display="http://www.epa.gov/water/eparecovery/"/>
    <hyperlink ref="BN74" r:id="rId104" display="http://www.epa.gov/swerust1/eparecovery/index.htm"/>
    <hyperlink ref="BR74" r:id="rId105" display="http://apps1.eere.energy.gov/state_energy_program/recovery_act.cfm"/>
    <hyperlink ref="BT74" r:id="rId106" display="http://apps1.eere.energy.gov/wip/block_grants.cfm"/>
    <hyperlink ref="BU74" r:id="rId107" display="http://apps1.eere.energy.gov/wip/block_grants.cfm"/>
    <hyperlink ref="BW74" r:id="rId108" display="http://apps1.eere.energy.gov/news/daily.cfm/hp_news_id=178"/>
    <hyperlink ref="BY74" r:id="rId109" display="http://www.fema.gov/government/grant/efs.shtm"/>
    <hyperlink ref="CA74" r:id="rId110" display="http://www.fns.usda.gov/fdd/programs/tefap/tefap_guidance.htm"/>
    <hyperlink ref="CC74" r:id="rId111" display="http://www.fns.usda.gov/fdd/programs/tefap/tefap_guidance.htm"/>
    <hyperlink ref="CE74" r:id="rId112" display="http://www.fns.usda.gov/fns/recovery/recovery-snap.htm"/>
    <hyperlink ref="EB74" r:id="rId113" display="http://www.fns.usda.gov/fns/recovery/recovery-snap.htm"/>
    <hyperlink ref="EC74" r:id="rId114" display="http://www.fns.usda.gov/fns/recovery/recovery-snap.htm"/>
    <hyperlink ref="ED74" r:id="rId115" display="http://www.fns.usda.gov/fns/recovery/recovery-snap.htm"/>
    <hyperlink ref="ED69" r:id="rId116" display="http://www.fns.usda.gov/snap/rules/Memo/2009/081309.pdf"/>
    <hyperlink ref="EC69" r:id="rId117" display="http://www.fns.usda.gov/snap/rules/Memo/2009/030609a.pdf"/>
    <hyperlink ref="CK74" r:id="rId118" display="http://portal.hud.gov/portal/page/portal/RECOVERY/programs/COMMUNITY"/>
    <hyperlink ref="EJ74" r:id="rId119" display="http://www.acf.hhs.gov/programs/ofa/policy/pa-ofa/2009/pa200901.htm"/>
    <hyperlink ref="BJ74" r:id="rId120" display="http://www.epa.gov/water/eparecovery/"/>
    <hyperlink ref="BR69" r:id="rId121" display="http://inside.ffis.org//ff/SEP_guidance.pdf"/>
    <hyperlink ref="CT74" r:id="rId122" display="http://www.hud.gov/offices/lead/09NOFA/leadcombo.cfm"/>
    <hyperlink ref="CV74" r:id="rId123" display="http://www.hud.gov/offices/pih/ih/"/>
    <hyperlink ref="CR74" r:id="rId124" display="http://portal.hud.gov/portal/page/portal/RECOVERY/programs/PROJECT"/>
    <hyperlink ref="I74" r:id="rId125" display="http://www.acf.hhs.gov/programs/cb/laws_policies/policy/pi/2009/pi0903.htm"/>
    <hyperlink ref="DE74" r:id="rId126" display="http://www.ojp.usdoj.gov/BJA/recoveryact.html"/>
    <hyperlink ref="CX74" r:id="rId127" display="http://www.ojp.usdoj.gov/BJA/recoveryact.html"/>
    <hyperlink ref="CY74" r:id="rId128" display="http://www.ojp.usdoj.gov/BJA/recoveryact.html"/>
    <hyperlink ref="DA74" r:id="rId129" display="http://www.ojp.usdoj.gov/BJA/recoveryact.html"/>
    <hyperlink ref="DC74" r:id="rId130" display="http://www.ovw.usdoj.gov/recovery-applicants.htm"/>
    <hyperlink ref="EK74" r:id="rId131" display="http://wdr.doleta.gov/directives/corr_doc.cfm?DOCN=2772"/>
    <hyperlink ref="DK74" r:id="rId132" display="http://wdr.doleta.gov/directives/corr_doc.cfm?docn=2730"/>
    <hyperlink ref="DM74" r:id="rId133" display="http://wdr.doleta.gov/directives/corr_doc.cfm?DOCN=2728"/>
    <hyperlink ref="DN74" r:id="rId134" display="http://wdr.doleta.gov/directives/corr_doc.cfm?DOCN=2728"/>
    <hyperlink ref="DP74" r:id="rId135" display="http://wdr.doleta.gov/directives/corr_doc.cfm?DOCN=2728"/>
    <hyperlink ref="DI74" r:id="rId136" display="http://wdr.doleta.gov/directives/corr_doc.cfm?DOCN=2728"/>
    <hyperlink ref="DI75" r:id="rId137" display="http://www.doleta.gov/Recovery/legislation.cfm"/>
    <hyperlink ref="DK75" r:id="rId138" display="http://www.doleta.gov/Recovery/legislation.cfm"/>
    <hyperlink ref="DM75" r:id="rId139" display="http://www.doleta.gov/Recovery/legislation.cfm"/>
    <hyperlink ref="DN75" r:id="rId140" display="http://www.doleta.gov/Recovery/legislation.cfm"/>
    <hyperlink ref="DP75" r:id="rId141" display="http://www.doleta.gov/Recovery/legislation.cfm"/>
    <hyperlink ref="EA74" r:id="rId142" display="http://www.ed.gov/policy/gen/leg/recovery/programs.html"/>
    <hyperlink ref="EH74" r:id="rId143" display="http://www.hhs.gov/recovery/cms/dsh.html"/>
    <hyperlink ref="EH69" r:id="rId144" display="http://transparency.cit.nih.gov/RecoveryGrants/grant.cfm?grant=DSH"/>
    <hyperlink ref="B69" r:id="rId145" display="http://transparency.cit.nih.gov/RecoveryGrants/grant.cfm?grant=Reinvestment"/>
    <hyperlink ref="DR74" r:id="rId146" display="http://www.nationalservice.gov/about/recovery/index.asp"/>
    <hyperlink ref="DT69" r:id="rId147" display="http://arts.endow.gov/recovery/grants/ARRA-grants-to-states-regions.html"/>
    <hyperlink ref="DT74" r:id="rId148" display="http://arts.endow.gov/grants/apply/recovery-states/index.html"/>
    <hyperlink ref="R80:AA80" r:id="rId149" display="Reading First State Grants"/>
    <hyperlink ref="R81:AA81" r:id="rId150" display="Even Start"/>
    <hyperlink ref="R84:AA84" r:id="rId151" display="N&amp;D"/>
    <hyperlink ref="S69" r:id="rId152" display="http://www.hhs.gov/news/press/2009pres/03/20090318a.html"/>
    <hyperlink ref="T69" r:id="rId153" display="http://www.hhs.gov/news/press/2009pres/03/20090318a.html"/>
    <hyperlink ref="X69" r:id="rId154" display="http://www.acf.hhs.gov/programs/ohs/policy/pi2009/acfpihs_09_06_a1.html"/>
    <hyperlink ref="V69" r:id="rId155" display="http://www.acf.hhs.gov/programs/ccb/law/allocations/current/state2009/2009_arra.htm"/>
    <hyperlink ref="S74" r:id="rId156" display="http://www.aoa.gov/AoAroot/PRESS_Room/News/2009/03_18_09.aspx"/>
    <hyperlink ref="T74" r:id="rId157" display="http://www.aoa.gov/AoAroot/PRESS_Room/News/2009/03_18_09.aspx"/>
    <hyperlink ref="V74" r:id="rId158" display="http://www.acf.hhs.gov/programs/ccb/initiatives/arra/index.htm"/>
    <hyperlink ref="X74" r:id="rId159" display="http://www.hhs.gov/recovery/programs/acf/hs-ehs.html"/>
    <hyperlink ref="Z74" r:id="rId160" display="http://www.hhs.gov/recovery/programs/acf/csbg.html"/>
    <hyperlink ref="Z69" r:id="rId161" display="http://transparency.cit.nih.gov/RecoveryGrants/grant.cfm?grant=csbg"/>
    <hyperlink ref="DV69" r:id="rId162" display="http://www.va.gov/RECOVERY/docs/Grants_-_By_State.pdf"/>
    <hyperlink ref="DV74" r:id="rId163" display="http://www.va.gov/recovery/Agency_Plans_and_Reports.asp"/>
    <hyperlink ref="EE74" r:id="rId164" display="http://www.va.gov/recovery/Agency_Plans_and_Reports.asp"/>
    <hyperlink ref="EF74" r:id="rId165" display="http://www.va.gov/recovery/Agency_Plans_and_Reports.asp"/>
    <hyperlink ref="EF69" r:id="rId166" display="http://www.va.gov/RECOVERY/docs/NCA_-_By_State.pdf"/>
    <hyperlink ref="EE69" r:id="rId167" display="http://www.va.gov/RECOVERY/docs/Updated-VHA-ByState.pdf"/>
    <hyperlink ref="EI74" r:id="rId168" display="http://wdr.doleta.gov/directives/corr_doc.cfm?DOCN=2715"/>
    <hyperlink ref="AR77" r:id="rId169" display="http://www.ed.gov/policy/gen/leg/recovery/reporting-info-for-fws-20091009.doc"/>
    <hyperlink ref="AR79" r:id="rId170" display="http://www.ed.gov/policy/gen/leg/recovery/fws-questions-20091016.doc"/>
    <hyperlink ref="AD81" r:id="rId171" display="http://www.ed.gov/policy/gen/leg/recovery/elsec-reporting-tips-summary.doc"/>
    <hyperlink ref="AG81" r:id="rId172" display="http://www.ed.gov/policy/gen/leg/recovery/elsec-reporting-tips-summary.doc"/>
    <hyperlink ref="AP81" r:id="rId173" display="http://www.ed.gov/policy/gen/leg/recovery/elsec-reporting-tips-summary.doc"/>
    <hyperlink ref="AN81" r:id="rId174" display="http://www.ed.gov/policy/gen/leg/recovery/elsec-reporting-tips-summary.doc"/>
    <hyperlink ref="BB81" r:id="rId175" display="http://www.ed.gov/policy/gen/leg/recovery/elsec-reporting-tips-summary.doc"/>
    <hyperlink ref="AT81" r:id="rId176" display="http://www.ed.gov/policy/gen/leg/recovery/speced-reporting-tips.xls"/>
    <hyperlink ref="AV81" r:id="rId177" display="http://www.ed.gov/policy/gen/leg/recovery/speced-reporting-tips.xls"/>
    <hyperlink ref="AX81" r:id="rId178" display="http://www.ed.gov/policy/gen/leg/recovery/speced-reporting-tips.xls"/>
    <hyperlink ref="AZ81" r:id="rId179" display="http://www.ed.gov/policy/gen/leg/recovery/speced-reporting-tips.xls"/>
    <hyperlink ref="AR81" r:id="rId180" display="http://www.ed.gov/policy/gen/leg/recovery/fws-tipsheet1009.pdf"/>
    <hyperlink ref="BL77" r:id="rId181" display="http://www.epa.gov/water/eparecovery/docs/2009_09_25_604b-ARRA_Recipient_Reporting_Guidance.pdf"/>
    <hyperlink ref="CN77" r:id="rId182" display="http://portal.hud.gov/portal/page/portal/RECOVERY/programs/TCAP_RESOURCES/TCAP-JOBCOUNT-GUIDE.pdf"/>
    <hyperlink ref="CN69" r:id="rId183" display="http://portal.hud.gov/pls/portal/url/ITEM/6B0F1A5A27A54F5DE04400144F9D3D85"/>
    <hyperlink ref="CN74" r:id="rId184" display="http://portal.hud.gov/portal/page/portal/RECOVERY/programs/TAX"/>
    <hyperlink ref="CX77" r:id="rId185" display="http://www.ovc.gov/fund/Recoveryfunds.html"/>
    <hyperlink ref="CY77" r:id="rId186" display="http://www.ovc.gov/fund/Recoveryfunds.html"/>
    <hyperlink ref="DI77" r:id="rId187" display="http://wdr.doleta.gov/directives/attach/TEGL/TEGL01-09.pdf"/>
    <hyperlink ref="DP77" r:id="rId188" display="http://wdr.doleta.gov/directives/attach/TEGL/TEGL01-09.pdf"/>
    <hyperlink ref="DK77" r:id="rId189" display="http://wdr.doleta.gov/directives/attach/TEGL/TEGL01-09.pdf"/>
    <hyperlink ref="CG77" r:id="rId190" display="http://www.fns.usda.gov/cnd/Governance/Policy-Memos/2009/SP_36-2009_os.pdf"/>
    <hyperlink ref="CA77" r:id="rId191" display="http://www.fns.usda.gov/fdd/programs/tefap/TEFAP-ARRAreportingGuidance.pdf"/>
    <hyperlink ref="CC77" r:id="rId192" display="http://www.fns.usda.gov/fdd/programs/tefap/TEFAP-ARRAreportingGuidance.pdf"/>
    <hyperlink ref="CA79" r:id="rId193" display="http://www.fns.usda.gov/fns/recovery/memos/TEFAP_080309.pdf"/>
    <hyperlink ref="CC79" r:id="rId194" display="http://www.fns.usda.gov/fns/recovery/memos/TEFAP_080309.pdf"/>
    <hyperlink ref="DI81" r:id="rId195" display="http://www.doleta.gov/recovery/Section_1512_FAQs.cfm"/>
    <hyperlink ref="DK81" r:id="rId196" display="http://www.doleta.gov/recovery/Section_1512_FAQs.cfm"/>
    <hyperlink ref="DP81" r:id="rId197" display="http://www.doleta.gov/recovery/Section_1512_FAQs.cfm"/>
    <hyperlink ref="AC81" r:id="rId198" display="http://www.ed.gov/policy/gen/leg/recovery/elsec-reporting-tips-summary.doc"/>
    <hyperlink ref="DM77" r:id="rId199" display="http://wdr.doleta.gov/directives/attach/TEGL/TEGL01-09.pdf"/>
    <hyperlink ref="DN77" r:id="rId200" display="http://wdr.doleta.gov/directives/attach/TEGL/TEGL01-09.pdf"/>
    <hyperlink ref="EG80" r:id="rId201" display="Reading First State Grants"/>
    <hyperlink ref="EG84" r:id="rId202" display="N&amp;D"/>
    <hyperlink ref="EG74" r:id="rId203" display="http://www.cms.hhs.gov/SMDL/SMD/itemdetail.asp?filterType=none&amp;filterByDID=0&amp;sortByDID=1&amp;sortOrder=descending&amp;itemID=CMS1227962&amp;intNumPerPage=10"/>
    <hyperlink ref="EG69" r:id="rId204" display="http://transparency.cit.nih.gov/RecoveryGrants/grant.cfm?grant=Reinvestment"/>
    <hyperlink ref="BF77" r:id="rId205" display="http://www.fta.dot.gov/index_9440_10542.html#report"/>
    <hyperlink ref="BD77" r:id="rId206" display="http://www.fhwa.dot.gov/economicrecovery/1512reporting.htm"/>
    <hyperlink ref="K77" r:id="rId207" display="http://bphc.hrsa.gov/recovery/hcqr/"/>
    <hyperlink ref="M77" r:id="rId208" display="http://bphc.hrsa.gov/recovery/hcqr/"/>
    <hyperlink ref="O77" r:id="rId209" display="http://bphc.hrsa.gov/recovery/hcqr/"/>
  </hyperlinks>
  <printOptions/>
  <pageMargins left="0.75" right="0.75" top="0.75" bottom="0.5" header="0.5" footer="0.5"/>
  <pageSetup fitToWidth="100" fitToHeight="1" horizontalDpi="600" verticalDpi="600" orientation="landscape" scale="68" r:id="rId210"/>
  <headerFooter alignWithMargins="0">
    <oddFooter>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U116"/>
  <sheetViews>
    <sheetView showGridLines="0" zoomScale="85" zoomScaleNormal="85" zoomScalePageLayoutView="0" workbookViewId="0" topLeftCell="A1">
      <pane xSplit="1" topLeftCell="B1" activePane="topRight" state="frozen"/>
      <selection pane="topLeft" activeCell="A1" sqref="A1"/>
      <selection pane="topRight" activeCell="DH83" sqref="B27:DH83"/>
    </sheetView>
  </sheetViews>
  <sheetFormatPr defaultColWidth="9.140625" defaultRowHeight="12.75"/>
  <cols>
    <col min="1" max="1" width="22.140625" style="9" customWidth="1"/>
    <col min="2" max="2" width="13.00390625" style="145" bestFit="1" customWidth="1"/>
    <col min="3" max="3" width="14.140625" style="145" bestFit="1" customWidth="1"/>
    <col min="4" max="4" width="14.00390625" style="145" customWidth="1"/>
    <col min="5" max="5" width="14.00390625" style="154" customWidth="1"/>
    <col min="6" max="6" width="2.00390625" style="154" customWidth="1"/>
    <col min="7" max="8" width="11.00390625" style="145" customWidth="1"/>
    <col min="9" max="9" width="1.57421875" style="145" customWidth="1"/>
    <col min="10" max="10" width="12.57421875" style="145" customWidth="1"/>
    <col min="11" max="11" width="12.8515625" style="145" customWidth="1"/>
    <col min="12" max="12" width="15.421875" style="145" bestFit="1" customWidth="1"/>
    <col min="13" max="13" width="2.140625" style="145" customWidth="1"/>
    <col min="14" max="14" width="21.421875" style="121" customWidth="1"/>
    <col min="15" max="15" width="1.421875" style="121" customWidth="1"/>
    <col min="16" max="16" width="21.421875" style="121" customWidth="1"/>
    <col min="17" max="17" width="1.421875" style="121" customWidth="1"/>
    <col min="18" max="18" width="20.421875" style="121" customWidth="1"/>
    <col min="19" max="19" width="1.421875" style="145" customWidth="1"/>
    <col min="20" max="22" width="21.57421875" style="145" customWidth="1"/>
    <col min="23" max="23" width="1.57421875" style="145" customWidth="1"/>
    <col min="24" max="24" width="14.8515625" style="145" customWidth="1"/>
    <col min="25" max="25" width="16.421875" style="145" bestFit="1" customWidth="1"/>
    <col min="26" max="27" width="16.421875" style="145" customWidth="1"/>
    <col min="28" max="28" width="14.00390625" style="145" customWidth="1"/>
    <col min="29" max="29" width="18.140625" style="145" customWidth="1"/>
    <col min="30" max="30" width="2.7109375" style="145" customWidth="1"/>
    <col min="31" max="31" width="14.57421875" style="145" customWidth="1"/>
    <col min="32" max="32" width="14.8515625" style="145" customWidth="1"/>
    <col min="33" max="34" width="14.8515625" style="145" bestFit="1" customWidth="1"/>
    <col min="35" max="42" width="12.421875" style="145" customWidth="1"/>
    <col min="43" max="43" width="14.8515625" style="145" customWidth="1"/>
    <col min="44" max="44" width="20.28125" style="145" bestFit="1" customWidth="1"/>
    <col min="45" max="46" width="11.140625" style="145" bestFit="1" customWidth="1"/>
    <col min="47" max="47" width="1.8515625" style="145" customWidth="1"/>
    <col min="48" max="48" width="17.8515625" style="145" customWidth="1"/>
    <col min="49" max="50" width="18.140625" style="145" customWidth="1"/>
    <col min="51" max="51" width="12.7109375" style="145" customWidth="1"/>
    <col min="52" max="52" width="13.28125" style="145" customWidth="1"/>
    <col min="53" max="53" width="2.421875" style="145" customWidth="1"/>
    <col min="54" max="54" width="11.8515625" style="145" customWidth="1"/>
    <col min="55" max="55" width="13.28125" style="145" customWidth="1"/>
    <col min="56" max="56" width="13.00390625" style="145" customWidth="1"/>
    <col min="57" max="57" width="18.7109375" style="145" customWidth="1"/>
    <col min="58" max="58" width="13.28125" style="145" customWidth="1"/>
    <col min="59" max="59" width="11.140625" style="145" customWidth="1"/>
    <col min="60" max="60" width="13.7109375" style="145" customWidth="1"/>
    <col min="61" max="61" width="22.28125" style="145" customWidth="1"/>
    <col min="62" max="64" width="11.57421875" style="145" customWidth="1"/>
    <col min="65" max="65" width="12.7109375" style="145" customWidth="1"/>
    <col min="66" max="66" width="22.421875" style="145" customWidth="1"/>
    <col min="67" max="67" width="1.7109375" style="145" customWidth="1"/>
    <col min="68" max="68" width="12.57421875" style="145" customWidth="1"/>
    <col min="69" max="69" width="17.140625" style="145" customWidth="1"/>
    <col min="70" max="70" width="11.140625" style="121" customWidth="1"/>
    <col min="71" max="71" width="9.140625" style="145" customWidth="1"/>
    <col min="72" max="72" width="1.57421875" style="145" customWidth="1"/>
    <col min="73" max="73" width="19.8515625" style="145" customWidth="1"/>
    <col min="74" max="74" width="20.28125" style="145" customWidth="1"/>
    <col min="75" max="75" width="26.28125" style="145" customWidth="1"/>
    <col min="76" max="76" width="1.57421875" style="145" customWidth="1"/>
    <col min="77" max="77" width="12.8515625" style="145" customWidth="1"/>
    <col min="78" max="79" width="12.57421875" style="145" customWidth="1"/>
    <col min="80" max="80" width="1.57421875" style="145" customWidth="1"/>
    <col min="81" max="83" width="21.57421875" style="145" customWidth="1"/>
    <col min="84" max="84" width="1.421875" style="145" customWidth="1"/>
    <col min="85" max="85" width="21.421875" style="145" customWidth="1"/>
    <col min="86" max="86" width="1.421875" style="145" customWidth="1"/>
    <col min="87" max="87" width="21.57421875" style="145" customWidth="1"/>
    <col min="88" max="88" width="1.57421875" style="145" customWidth="1"/>
    <col min="89" max="89" width="21.57421875" style="145" customWidth="1"/>
    <col min="90" max="90" width="1.57421875" style="145" customWidth="1"/>
    <col min="91" max="91" width="21.57421875" style="145" customWidth="1"/>
    <col min="92" max="92" width="1.57421875" style="145" customWidth="1"/>
    <col min="93" max="93" width="21.57421875" style="145" customWidth="1"/>
    <col min="94" max="94" width="1.57421875" style="145" customWidth="1"/>
    <col min="95" max="98" width="21.57421875" style="145" customWidth="1"/>
    <col min="99" max="99" width="1.57421875" style="145" customWidth="1"/>
    <col min="100" max="100" width="21.57421875" style="145" customWidth="1"/>
    <col min="101" max="101" width="1.57421875" style="145" customWidth="1"/>
    <col min="102" max="102" width="21.57421875" style="145" customWidth="1"/>
    <col min="103" max="103" width="1.57421875" style="145" customWidth="1"/>
    <col min="104" max="104" width="21.57421875" style="145" customWidth="1"/>
    <col min="105" max="105" width="1.57421875" style="145" customWidth="1"/>
    <col min="106" max="106" width="21.57421875" style="145" customWidth="1"/>
    <col min="107" max="107" width="1.57421875" style="145" customWidth="1"/>
    <col min="108" max="108" width="21.57421875" style="145" customWidth="1"/>
    <col min="109" max="109" width="1.57421875" style="145" customWidth="1"/>
    <col min="110" max="110" width="21.57421875" style="145" customWidth="1"/>
    <col min="111" max="111" width="1.57421875" style="145" customWidth="1"/>
    <col min="112" max="112" width="21.57421875" style="145" customWidth="1"/>
    <col min="113" max="16384" width="9.140625" style="145" customWidth="1"/>
  </cols>
  <sheetData>
    <row r="1" spans="1:112" ht="25.5">
      <c r="A1" s="42" t="s">
        <v>214</v>
      </c>
      <c r="B1" s="158"/>
      <c r="C1" s="158"/>
      <c r="D1" s="158"/>
      <c r="E1" s="159"/>
      <c r="F1" s="159"/>
      <c r="G1" s="158"/>
      <c r="H1" s="158"/>
      <c r="I1" s="158"/>
      <c r="J1" s="158"/>
      <c r="K1" s="158"/>
      <c r="L1" s="158"/>
      <c r="M1" s="158"/>
      <c r="N1" s="250"/>
      <c r="O1" s="250"/>
      <c r="P1" s="250"/>
      <c r="Q1" s="250"/>
      <c r="R1" s="250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/>
      <c r="AO1" s="158"/>
      <c r="AP1" s="158"/>
      <c r="AQ1" s="158"/>
      <c r="AR1" s="158"/>
      <c r="AS1" s="158"/>
      <c r="AT1" s="158"/>
      <c r="AU1" s="158"/>
      <c r="AV1" s="158"/>
      <c r="AW1" s="158"/>
      <c r="AX1" s="158"/>
      <c r="AY1" s="158"/>
      <c r="AZ1" s="158"/>
      <c r="BA1" s="158"/>
      <c r="BB1" s="158"/>
      <c r="BC1" s="158"/>
      <c r="BD1" s="158"/>
      <c r="BE1" s="158"/>
      <c r="BF1" s="158"/>
      <c r="BG1" s="158"/>
      <c r="BH1" s="158"/>
      <c r="BI1" s="158"/>
      <c r="BJ1" s="158"/>
      <c r="BK1" s="158"/>
      <c r="BL1" s="158"/>
      <c r="BM1" s="158"/>
      <c r="BN1" s="158"/>
      <c r="BO1" s="158"/>
      <c r="BP1" s="158"/>
      <c r="BQ1" s="158"/>
      <c r="BR1" s="158"/>
      <c r="BS1" s="158"/>
      <c r="BT1" s="158"/>
      <c r="BU1" s="158"/>
      <c r="BV1" s="158"/>
      <c r="BW1" s="158"/>
      <c r="BX1" s="158"/>
      <c r="BY1" s="158"/>
      <c r="BZ1" s="158"/>
      <c r="CA1" s="158"/>
      <c r="CB1" s="158"/>
      <c r="CC1" s="158"/>
      <c r="CD1" s="158"/>
      <c r="CE1" s="158"/>
      <c r="CF1" s="158"/>
      <c r="CG1" s="158"/>
      <c r="CH1" s="158"/>
      <c r="CI1" s="158"/>
      <c r="CJ1" s="158"/>
      <c r="CK1" s="158"/>
      <c r="CL1" s="158"/>
      <c r="CM1" s="158"/>
      <c r="CN1" s="158"/>
      <c r="CO1" s="158"/>
      <c r="CP1" s="158"/>
      <c r="CQ1" s="158"/>
      <c r="CR1" s="158"/>
      <c r="CS1" s="158"/>
      <c r="CT1" s="158"/>
      <c r="CU1" s="158"/>
      <c r="CV1" s="158"/>
      <c r="CW1" s="158"/>
      <c r="CX1" s="158"/>
      <c r="CY1" s="158"/>
      <c r="CZ1" s="158"/>
      <c r="DA1" s="158"/>
      <c r="DB1" s="158"/>
      <c r="DC1" s="158"/>
      <c r="DD1" s="158"/>
      <c r="DE1" s="158"/>
      <c r="DF1" s="158"/>
      <c r="DG1" s="158"/>
      <c r="DH1" s="158"/>
    </row>
    <row r="2" spans="1:112" ht="13.5" customHeight="1">
      <c r="A2" s="160" t="s">
        <v>0</v>
      </c>
      <c r="B2" s="160"/>
      <c r="C2" s="160"/>
      <c r="D2" s="160"/>
      <c r="E2" s="153"/>
      <c r="F2" s="156"/>
      <c r="G2" s="160"/>
      <c r="H2" s="160"/>
      <c r="I2" s="158"/>
      <c r="J2" s="158"/>
      <c r="K2" s="158"/>
      <c r="L2" s="158"/>
      <c r="M2" s="158"/>
      <c r="N2" s="250"/>
      <c r="O2" s="250"/>
      <c r="P2" s="250"/>
      <c r="Q2" s="250"/>
      <c r="R2" s="250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  <c r="AL2" s="158"/>
      <c r="AM2" s="158"/>
      <c r="AN2" s="158"/>
      <c r="AO2" s="158"/>
      <c r="AP2" s="158"/>
      <c r="AQ2" s="158"/>
      <c r="AR2" s="158"/>
      <c r="AS2" s="158"/>
      <c r="AT2" s="158"/>
      <c r="AU2" s="158"/>
      <c r="AV2" s="158"/>
      <c r="AW2" s="158"/>
      <c r="AX2" s="158"/>
      <c r="AY2" s="158"/>
      <c r="AZ2" s="158"/>
      <c r="BA2" s="158"/>
      <c r="BB2" s="158"/>
      <c r="BC2" s="158"/>
      <c r="BD2" s="158"/>
      <c r="BE2" s="158"/>
      <c r="BF2" s="158"/>
      <c r="BG2" s="158"/>
      <c r="BH2" s="158"/>
      <c r="BI2" s="158"/>
      <c r="BJ2" s="158"/>
      <c r="BK2" s="158"/>
      <c r="BL2" s="158"/>
      <c r="BM2" s="158"/>
      <c r="BN2" s="158"/>
      <c r="BO2" s="158"/>
      <c r="BP2" s="158"/>
      <c r="BQ2" s="158"/>
      <c r="BR2" s="158"/>
      <c r="BS2" s="158"/>
      <c r="BT2" s="158"/>
      <c r="BU2" s="158"/>
      <c r="BV2" s="158"/>
      <c r="BW2" s="158"/>
      <c r="BX2" s="158"/>
      <c r="BY2" s="158"/>
      <c r="BZ2" s="158"/>
      <c r="CA2" s="158"/>
      <c r="CB2" s="158"/>
      <c r="CC2" s="158"/>
      <c r="CD2" s="158"/>
      <c r="CE2" s="158"/>
      <c r="CF2" s="158"/>
      <c r="CG2" s="158"/>
      <c r="CH2" s="158"/>
      <c r="CI2" s="158"/>
      <c r="CJ2" s="158"/>
      <c r="CK2" s="158"/>
      <c r="CL2" s="158"/>
      <c r="CM2" s="158"/>
      <c r="CN2" s="158"/>
      <c r="CO2" s="158"/>
      <c r="CP2" s="158"/>
      <c r="CQ2" s="158"/>
      <c r="CR2" s="158"/>
      <c r="CS2" s="158"/>
      <c r="CT2" s="158"/>
      <c r="CU2" s="158"/>
      <c r="CV2" s="158"/>
      <c r="CW2" s="158"/>
      <c r="CX2" s="158"/>
      <c r="CY2" s="158"/>
      <c r="CZ2" s="158"/>
      <c r="DA2" s="158"/>
      <c r="DB2" s="158"/>
      <c r="DC2" s="158"/>
      <c r="DD2" s="158"/>
      <c r="DE2" s="158"/>
      <c r="DF2" s="158"/>
      <c r="DG2" s="158"/>
      <c r="DH2" s="158"/>
    </row>
    <row r="3" spans="1:112" ht="13.5" customHeight="1">
      <c r="A3" s="46" t="s">
        <v>608</v>
      </c>
      <c r="B3" s="148"/>
      <c r="C3" s="148"/>
      <c r="D3" s="148"/>
      <c r="E3" s="153"/>
      <c r="F3" s="156"/>
      <c r="G3" s="148"/>
      <c r="H3" s="148"/>
      <c r="M3" s="200"/>
      <c r="N3" s="251"/>
      <c r="O3" s="251"/>
      <c r="P3" s="251"/>
      <c r="Q3" s="251"/>
      <c r="R3" s="251"/>
      <c r="S3" s="200"/>
      <c r="T3" s="200"/>
      <c r="U3" s="200"/>
      <c r="V3" s="200"/>
      <c r="W3" s="200"/>
      <c r="X3" s="161"/>
      <c r="Y3"/>
      <c r="Z3"/>
      <c r="AA3"/>
      <c r="AB3"/>
      <c r="AC3" s="186"/>
      <c r="AD3" s="186"/>
      <c r="AE3" s="186"/>
      <c r="AF3"/>
      <c r="AG3"/>
      <c r="AH3"/>
      <c r="AI3"/>
      <c r="AJ3"/>
      <c r="AK3"/>
      <c r="AL3"/>
      <c r="AM3"/>
      <c r="AN3"/>
      <c r="AO3"/>
      <c r="AP3"/>
      <c r="AQ3"/>
      <c r="AR3"/>
      <c r="BZ3" s="209"/>
      <c r="CA3" s="209"/>
      <c r="CC3" s="211"/>
      <c r="CD3" s="211"/>
      <c r="CE3" s="211"/>
      <c r="CF3" s="211"/>
      <c r="CG3" s="211"/>
      <c r="CH3" s="211"/>
      <c r="CI3" s="209"/>
      <c r="CJ3" s="209"/>
      <c r="CK3" s="209"/>
      <c r="CQ3" s="325" t="s">
        <v>293</v>
      </c>
      <c r="CR3" s="325"/>
      <c r="CS3" s="325"/>
      <c r="CT3" s="325"/>
      <c r="DH3" s="324" t="s">
        <v>249</v>
      </c>
    </row>
    <row r="4" spans="1:112" s="147" customFormat="1" ht="13.5" customHeight="1">
      <c r="A4" s="160"/>
      <c r="B4" s="316" t="s">
        <v>216</v>
      </c>
      <c r="C4" s="316"/>
      <c r="D4" s="316"/>
      <c r="E4" s="316"/>
      <c r="F4" s="155"/>
      <c r="G4" s="318" t="s">
        <v>567</v>
      </c>
      <c r="H4" s="318"/>
      <c r="J4" s="147" t="s">
        <v>280</v>
      </c>
      <c r="M4" s="200"/>
      <c r="N4" s="316" t="s">
        <v>564</v>
      </c>
      <c r="O4" s="316"/>
      <c r="P4" s="316"/>
      <c r="Q4" s="319"/>
      <c r="R4" s="319"/>
      <c r="S4" s="200"/>
      <c r="T4" s="317" t="s">
        <v>284</v>
      </c>
      <c r="U4" s="317"/>
      <c r="V4" s="317"/>
      <c r="W4" s="207"/>
      <c r="X4" s="316" t="s">
        <v>219</v>
      </c>
      <c r="Y4" s="316"/>
      <c r="Z4" s="316"/>
      <c r="AA4" s="316"/>
      <c r="AB4" s="316"/>
      <c r="AC4" s="216"/>
      <c r="AD4" s="155"/>
      <c r="AE4" s="316" t="s">
        <v>227</v>
      </c>
      <c r="AF4" s="316"/>
      <c r="AG4" s="316"/>
      <c r="AH4" s="316"/>
      <c r="AI4" s="316"/>
      <c r="AJ4" s="316"/>
      <c r="AK4" s="316"/>
      <c r="AL4" s="316"/>
      <c r="AM4" s="316"/>
      <c r="AN4" s="316"/>
      <c r="AO4" s="316"/>
      <c r="AP4" s="316"/>
      <c r="AQ4" s="316"/>
      <c r="AR4" s="316"/>
      <c r="AS4" s="316"/>
      <c r="AT4" s="316"/>
      <c r="AU4" s="155"/>
      <c r="AV4" s="316" t="s">
        <v>243</v>
      </c>
      <c r="AW4" s="316"/>
      <c r="AX4" s="316"/>
      <c r="AY4" s="316"/>
      <c r="AZ4" s="316"/>
      <c r="BA4" s="155"/>
      <c r="BB4" s="316" t="s">
        <v>229</v>
      </c>
      <c r="BC4" s="316"/>
      <c r="BD4" s="316"/>
      <c r="BE4" s="316"/>
      <c r="BF4" s="316"/>
      <c r="BG4" s="316"/>
      <c r="BH4" s="316"/>
      <c r="BI4" s="316"/>
      <c r="BJ4" s="316"/>
      <c r="BK4" s="316"/>
      <c r="BL4" s="316"/>
      <c r="BM4" s="316"/>
      <c r="BN4" s="316"/>
      <c r="BP4" s="316" t="s">
        <v>239</v>
      </c>
      <c r="BQ4" s="316"/>
      <c r="BR4" s="316"/>
      <c r="BS4" s="316"/>
      <c r="BU4" s="316" t="s">
        <v>240</v>
      </c>
      <c r="BV4" s="316"/>
      <c r="BW4" s="316"/>
      <c r="BZ4" s="210" t="s">
        <v>289</v>
      </c>
      <c r="CA4" s="210"/>
      <c r="CC4" s="326" t="s">
        <v>291</v>
      </c>
      <c r="CD4" s="326"/>
      <c r="CE4" s="326"/>
      <c r="CF4" s="211"/>
      <c r="CG4" s="326" t="s">
        <v>299</v>
      </c>
      <c r="CH4" s="326"/>
      <c r="CI4" s="326"/>
      <c r="CJ4" s="327"/>
      <c r="CK4" s="327"/>
      <c r="CL4" s="327"/>
      <c r="CM4" s="327"/>
      <c r="CN4" s="327"/>
      <c r="CO4" s="327"/>
      <c r="CQ4" s="326"/>
      <c r="CR4" s="326"/>
      <c r="CS4" s="326"/>
      <c r="CT4" s="326"/>
      <c r="CV4" s="316" t="s">
        <v>594</v>
      </c>
      <c r="CW4" s="316"/>
      <c r="CX4" s="316"/>
      <c r="CY4" s="316"/>
      <c r="CZ4" s="316"/>
      <c r="DA4" s="319"/>
      <c r="DB4" s="319"/>
      <c r="DC4" s="319"/>
      <c r="DD4" s="319"/>
      <c r="DE4" s="319"/>
      <c r="DF4" s="319"/>
      <c r="DH4" s="323"/>
    </row>
    <row r="5" spans="1:112" s="149" customFormat="1" ht="42" customHeight="1">
      <c r="A5" s="156"/>
      <c r="B5" s="217" t="s">
        <v>210</v>
      </c>
      <c r="C5" s="217" t="s">
        <v>212</v>
      </c>
      <c r="D5" s="172" t="s">
        <v>277</v>
      </c>
      <c r="E5" s="172" t="s">
        <v>278</v>
      </c>
      <c r="G5" s="172" t="s">
        <v>565</v>
      </c>
      <c r="H5" s="172" t="s">
        <v>406</v>
      </c>
      <c r="J5" s="172" t="s">
        <v>281</v>
      </c>
      <c r="K5" s="172" t="s">
        <v>282</v>
      </c>
      <c r="L5" s="172" t="s">
        <v>283</v>
      </c>
      <c r="M5" s="200"/>
      <c r="N5" s="299" t="s">
        <v>562</v>
      </c>
      <c r="O5" s="304"/>
      <c r="P5" s="299" t="s">
        <v>407</v>
      </c>
      <c r="Q5" s="294"/>
      <c r="R5" s="294" t="s">
        <v>603</v>
      </c>
      <c r="S5" s="200"/>
      <c r="T5" s="152" t="s">
        <v>408</v>
      </c>
      <c r="U5" s="214" t="s">
        <v>409</v>
      </c>
      <c r="V5" s="152" t="s">
        <v>412</v>
      </c>
      <c r="W5" s="204"/>
      <c r="X5" s="198" t="s">
        <v>220</v>
      </c>
      <c r="Y5" s="198" t="s">
        <v>268</v>
      </c>
      <c r="Z5" s="172" t="s">
        <v>287</v>
      </c>
      <c r="AA5" s="172" t="s">
        <v>288</v>
      </c>
      <c r="AB5" s="198" t="s">
        <v>165</v>
      </c>
      <c r="AC5" s="198" t="s">
        <v>312</v>
      </c>
      <c r="AE5" s="198" t="s">
        <v>261</v>
      </c>
      <c r="AF5" s="208" t="s">
        <v>308</v>
      </c>
      <c r="AG5" s="208" t="s">
        <v>621</v>
      </c>
      <c r="AH5" s="208" t="s">
        <v>622</v>
      </c>
      <c r="AI5" s="208" t="s">
        <v>433</v>
      </c>
      <c r="AJ5" s="208" t="s">
        <v>434</v>
      </c>
      <c r="AK5" s="208" t="s">
        <v>316</v>
      </c>
      <c r="AL5" s="208" t="s">
        <v>317</v>
      </c>
      <c r="AM5" s="208" t="s">
        <v>318</v>
      </c>
      <c r="AN5" s="208" t="s">
        <v>320</v>
      </c>
      <c r="AO5" s="208" t="s">
        <v>322</v>
      </c>
      <c r="AP5" s="208" t="s">
        <v>319</v>
      </c>
      <c r="AQ5" s="172" t="s">
        <v>285</v>
      </c>
      <c r="AR5" s="172" t="s">
        <v>623</v>
      </c>
      <c r="AS5" s="172" t="s">
        <v>286</v>
      </c>
      <c r="AT5" s="172" t="s">
        <v>616</v>
      </c>
      <c r="AV5" s="320" t="s">
        <v>228</v>
      </c>
      <c r="AW5" s="320" t="s">
        <v>309</v>
      </c>
      <c r="AX5" s="168" t="s">
        <v>310</v>
      </c>
      <c r="AY5" s="322" t="s">
        <v>237</v>
      </c>
      <c r="AZ5" s="168" t="s">
        <v>238</v>
      </c>
      <c r="BA5" s="167"/>
      <c r="BB5" s="168" t="s">
        <v>230</v>
      </c>
      <c r="BC5" s="168" t="s">
        <v>232</v>
      </c>
      <c r="BD5" s="320" t="s">
        <v>231</v>
      </c>
      <c r="BE5" s="172" t="s">
        <v>247</v>
      </c>
      <c r="BF5" s="177" t="s">
        <v>233</v>
      </c>
      <c r="BG5" s="177" t="s">
        <v>254</v>
      </c>
      <c r="BH5" s="177" t="s">
        <v>255</v>
      </c>
      <c r="BI5" s="177" t="s">
        <v>311</v>
      </c>
      <c r="BJ5" s="177" t="s">
        <v>234</v>
      </c>
      <c r="BK5" s="177" t="s">
        <v>252</v>
      </c>
      <c r="BL5" s="177" t="s">
        <v>248</v>
      </c>
      <c r="BM5" s="177" t="s">
        <v>235</v>
      </c>
      <c r="BN5" s="177" t="s">
        <v>236</v>
      </c>
      <c r="BP5" s="177" t="s">
        <v>244</v>
      </c>
      <c r="BQ5" s="172" t="s">
        <v>245</v>
      </c>
      <c r="BR5" s="177" t="s">
        <v>259</v>
      </c>
      <c r="BS5" s="172" t="s">
        <v>246</v>
      </c>
      <c r="BU5" s="172" t="s">
        <v>241</v>
      </c>
      <c r="BV5" s="172" t="s">
        <v>242</v>
      </c>
      <c r="BW5" s="177" t="s">
        <v>250</v>
      </c>
      <c r="BY5" s="172" t="s">
        <v>323</v>
      </c>
      <c r="BZ5" s="172" t="s">
        <v>290</v>
      </c>
      <c r="CA5" s="172" t="s">
        <v>334</v>
      </c>
      <c r="CC5" s="172" t="s">
        <v>295</v>
      </c>
      <c r="CD5" s="172" t="s">
        <v>296</v>
      </c>
      <c r="CE5" s="172" t="s">
        <v>297</v>
      </c>
      <c r="CF5" s="167"/>
      <c r="CG5" s="214" t="s">
        <v>321</v>
      </c>
      <c r="CH5" s="167"/>
      <c r="CI5" s="214" t="s">
        <v>292</v>
      </c>
      <c r="CJ5" s="167"/>
      <c r="CK5" s="167" t="s">
        <v>595</v>
      </c>
      <c r="CM5" s="167" t="s">
        <v>602</v>
      </c>
      <c r="CN5" s="167"/>
      <c r="CO5" s="167" t="s">
        <v>600</v>
      </c>
      <c r="CQ5" s="172" t="s">
        <v>301</v>
      </c>
      <c r="CR5" s="172" t="s">
        <v>300</v>
      </c>
      <c r="CS5" s="172" t="s">
        <v>294</v>
      </c>
      <c r="CT5" s="172" t="s">
        <v>611</v>
      </c>
      <c r="CV5" s="167" t="s">
        <v>587</v>
      </c>
      <c r="CW5" s="167"/>
      <c r="CX5" s="167" t="s">
        <v>588</v>
      </c>
      <c r="CZ5" s="167" t="s">
        <v>591</v>
      </c>
      <c r="DA5" s="167"/>
      <c r="DB5" s="167" t="s">
        <v>592</v>
      </c>
      <c r="DC5" s="167"/>
      <c r="DD5" s="167" t="s">
        <v>593</v>
      </c>
      <c r="DE5" s="167"/>
      <c r="DF5" s="167" t="s">
        <v>581</v>
      </c>
      <c r="DH5" s="177" t="s">
        <v>302</v>
      </c>
    </row>
    <row r="6" spans="1:70" s="149" customFormat="1" ht="13.5" customHeight="1" hidden="1">
      <c r="A6" s="150"/>
      <c r="B6" s="218" t="s">
        <v>107</v>
      </c>
      <c r="C6" s="218" t="s">
        <v>107</v>
      </c>
      <c r="D6" s="152" t="s">
        <v>213</v>
      </c>
      <c r="E6" s="152" t="s">
        <v>215</v>
      </c>
      <c r="G6" s="152" t="s">
        <v>218</v>
      </c>
      <c r="H6" s="152" t="s">
        <v>218</v>
      </c>
      <c r="I6" s="167"/>
      <c r="J6" s="152" t="s">
        <v>217</v>
      </c>
      <c r="L6" s="152"/>
      <c r="M6" s="200"/>
      <c r="N6" s="249" t="s">
        <v>208</v>
      </c>
      <c r="O6" s="295"/>
      <c r="P6" s="249" t="s">
        <v>208</v>
      </c>
      <c r="Q6" s="295"/>
      <c r="R6" s="295"/>
      <c r="S6" s="200"/>
      <c r="T6" s="200"/>
      <c r="U6" s="200"/>
      <c r="V6" s="200"/>
      <c r="W6" s="200"/>
      <c r="X6" s="152" t="s">
        <v>221</v>
      </c>
      <c r="Y6" s="152" t="s">
        <v>222</v>
      </c>
      <c r="Z6" s="152"/>
      <c r="AA6" s="152"/>
      <c r="AB6" s="152" t="s">
        <v>224</v>
      </c>
      <c r="AE6" s="152" t="s">
        <v>223</v>
      </c>
      <c r="AF6" s="152"/>
      <c r="AG6" s="152"/>
      <c r="AH6" s="152"/>
      <c r="AI6" s="152"/>
      <c r="AJ6" s="152"/>
      <c r="AK6" s="152"/>
      <c r="AL6" s="152"/>
      <c r="AM6" s="152"/>
      <c r="AN6" s="152"/>
      <c r="AO6" s="152"/>
      <c r="AP6" s="152"/>
      <c r="AQ6" s="152"/>
      <c r="AR6" s="152"/>
      <c r="AS6" s="152"/>
      <c r="AT6" s="152"/>
      <c r="AV6" s="321"/>
      <c r="AW6" s="321"/>
      <c r="AX6" s="169"/>
      <c r="AY6" s="323"/>
      <c r="AZ6" s="169"/>
      <c r="BA6" s="167"/>
      <c r="BB6" s="169"/>
      <c r="BC6" s="169"/>
      <c r="BD6" s="321"/>
      <c r="BR6" s="178"/>
    </row>
    <row r="7" spans="1:112" s="146" customFormat="1" ht="12.75">
      <c r="A7" s="163" t="s">
        <v>130</v>
      </c>
      <c r="B7" s="213" t="s">
        <v>211</v>
      </c>
      <c r="C7" s="213" t="s">
        <v>211</v>
      </c>
      <c r="D7" s="151" t="s">
        <v>211</v>
      </c>
      <c r="E7" s="151" t="s">
        <v>211</v>
      </c>
      <c r="F7" s="157"/>
      <c r="G7" s="201">
        <v>10.922</v>
      </c>
      <c r="H7" s="201">
        <v>10.687</v>
      </c>
      <c r="I7" s="185"/>
      <c r="J7" s="201">
        <v>10.916</v>
      </c>
      <c r="K7" s="213">
        <v>10.904</v>
      </c>
      <c r="L7" s="213">
        <v>10.904</v>
      </c>
      <c r="M7" s="202"/>
      <c r="N7" s="281">
        <v>10.78</v>
      </c>
      <c r="O7" s="300"/>
      <c r="P7" s="252">
        <v>10.781</v>
      </c>
      <c r="Q7" s="296"/>
      <c r="R7" s="298"/>
      <c r="S7" s="202"/>
      <c r="T7" s="206">
        <v>10.578</v>
      </c>
      <c r="U7" s="206">
        <v>10.578</v>
      </c>
      <c r="V7" s="206">
        <v>10.578</v>
      </c>
      <c r="W7" s="205"/>
      <c r="X7" s="201">
        <v>84.385</v>
      </c>
      <c r="Y7" s="201">
        <v>84.384</v>
      </c>
      <c r="Z7" s="201">
        <v>84.395</v>
      </c>
      <c r="AA7" s="201">
        <v>84.396</v>
      </c>
      <c r="AB7" s="201">
        <v>84.401</v>
      </c>
      <c r="AC7" s="201">
        <v>84.405</v>
      </c>
      <c r="AD7" s="203"/>
      <c r="AE7" s="201">
        <v>93.708</v>
      </c>
      <c r="AF7" s="201">
        <v>93.709</v>
      </c>
      <c r="AG7" s="201">
        <v>93.717</v>
      </c>
      <c r="AH7" s="201">
        <v>93.717</v>
      </c>
      <c r="AI7" s="201">
        <v>93.401</v>
      </c>
      <c r="AJ7" s="201"/>
      <c r="AK7" s="201">
        <v>93.407</v>
      </c>
      <c r="AL7" s="201">
        <v>93.405</v>
      </c>
      <c r="AM7" s="201">
        <v>93.417</v>
      </c>
      <c r="AN7" s="201">
        <v>93.415</v>
      </c>
      <c r="AO7" s="201">
        <v>93.416</v>
      </c>
      <c r="AP7" s="201">
        <v>93.404</v>
      </c>
      <c r="AQ7" s="201">
        <v>93.711</v>
      </c>
      <c r="AR7" s="201">
        <v>93.717</v>
      </c>
      <c r="AS7" s="201">
        <v>93.719</v>
      </c>
      <c r="AT7" s="201"/>
      <c r="AV7" s="170">
        <v>14.318</v>
      </c>
      <c r="AW7" s="170">
        <v>14.887</v>
      </c>
      <c r="AX7" s="170">
        <v>14.886</v>
      </c>
      <c r="AY7" s="171">
        <v>14.256</v>
      </c>
      <c r="AZ7" s="170">
        <v>14.884</v>
      </c>
      <c r="BB7" s="170">
        <v>16.808</v>
      </c>
      <c r="BC7" s="170">
        <v>16.808</v>
      </c>
      <c r="BD7" s="171">
        <v>16.71</v>
      </c>
      <c r="BE7" s="173">
        <v>16.807</v>
      </c>
      <c r="BF7" s="173">
        <v>16.805</v>
      </c>
      <c r="BG7" s="173">
        <v>16.556</v>
      </c>
      <c r="BH7" s="173">
        <v>16.556</v>
      </c>
      <c r="BI7" s="173">
        <v>16.556</v>
      </c>
      <c r="BJ7" s="173">
        <v>16.557</v>
      </c>
      <c r="BK7" s="173">
        <v>16.806</v>
      </c>
      <c r="BL7" s="173">
        <v>16.811</v>
      </c>
      <c r="BM7" s="173">
        <v>16.81</v>
      </c>
      <c r="BN7" s="173">
        <v>16.809</v>
      </c>
      <c r="BP7" s="173">
        <v>17.274</v>
      </c>
      <c r="BQ7" s="173">
        <v>17.275</v>
      </c>
      <c r="BR7" s="179">
        <v>17.277</v>
      </c>
      <c r="BS7" s="173"/>
      <c r="BU7" s="173">
        <v>11.557</v>
      </c>
      <c r="BV7" s="173">
        <v>11.558</v>
      </c>
      <c r="BW7" s="174" t="s">
        <v>251</v>
      </c>
      <c r="BY7" s="173"/>
      <c r="BZ7" s="173">
        <v>66.818</v>
      </c>
      <c r="CA7" s="173">
        <v>66.818</v>
      </c>
      <c r="CC7" s="173">
        <v>97.115</v>
      </c>
      <c r="CD7" s="173">
        <v>97.113</v>
      </c>
      <c r="CE7" s="173">
        <v>97.116</v>
      </c>
      <c r="CF7" s="212"/>
      <c r="CG7" s="173"/>
      <c r="CH7" s="212"/>
      <c r="CI7" s="173"/>
      <c r="CJ7" s="212"/>
      <c r="CK7" s="171"/>
      <c r="CM7" s="282"/>
      <c r="CO7" s="293">
        <v>81.135</v>
      </c>
      <c r="CQ7" s="173"/>
      <c r="CR7" s="173"/>
      <c r="CS7" s="173"/>
      <c r="CT7" s="173"/>
      <c r="CV7" s="282"/>
      <c r="CW7" s="282"/>
      <c r="CX7" s="282"/>
      <c r="CZ7" s="282"/>
      <c r="DA7" s="282"/>
      <c r="DB7" s="282"/>
      <c r="DC7" s="282"/>
      <c r="DD7" s="282"/>
      <c r="DF7" s="282"/>
      <c r="DH7" s="173">
        <v>94.006</v>
      </c>
    </row>
    <row r="8" spans="1:112" ht="12.75" hidden="1">
      <c r="A8" s="61" t="s">
        <v>10</v>
      </c>
      <c r="B8" s="117">
        <v>7393</v>
      </c>
      <c r="C8" s="117">
        <v>1606</v>
      </c>
      <c r="D8" s="41">
        <v>0</v>
      </c>
      <c r="E8" s="41">
        <v>0</v>
      </c>
      <c r="F8" s="31"/>
      <c r="G8" s="41">
        <v>0</v>
      </c>
      <c r="H8" s="41"/>
      <c r="I8" s="31"/>
      <c r="J8" s="41">
        <v>0</v>
      </c>
      <c r="K8" s="41">
        <v>430</v>
      </c>
      <c r="L8" s="41">
        <v>2971.627</v>
      </c>
      <c r="M8" s="31"/>
      <c r="N8" s="247">
        <v>743.48</v>
      </c>
      <c r="O8" s="301"/>
      <c r="P8" s="247">
        <v>18967.1</v>
      </c>
      <c r="Q8" s="247"/>
      <c r="R8" s="247">
        <v>0</v>
      </c>
      <c r="S8" s="31"/>
      <c r="T8" s="31">
        <v>218.512</v>
      </c>
      <c r="U8" s="31">
        <v>0</v>
      </c>
      <c r="V8" s="31">
        <f>SUM(T8:U8)</f>
        <v>218.512</v>
      </c>
      <c r="W8" s="31"/>
      <c r="X8" s="41"/>
      <c r="Y8" s="41"/>
      <c r="Z8" s="41"/>
      <c r="AA8" s="41"/>
      <c r="AB8" s="41"/>
      <c r="AC8" s="31"/>
      <c r="AD8" s="31"/>
      <c r="AE8" s="41">
        <v>2024.573</v>
      </c>
      <c r="AF8" s="41">
        <v>9961</v>
      </c>
      <c r="AG8" s="41">
        <v>0</v>
      </c>
      <c r="AH8" s="41">
        <v>41.889</v>
      </c>
      <c r="AI8" s="41">
        <v>350</v>
      </c>
      <c r="AJ8" s="41">
        <v>38.22</v>
      </c>
      <c r="AK8" s="41">
        <v>284.849</v>
      </c>
      <c r="AL8" s="41">
        <v>116.041</v>
      </c>
      <c r="AM8" s="41">
        <v>0</v>
      </c>
      <c r="AN8" s="41">
        <v>0</v>
      </c>
      <c r="AO8" s="41">
        <v>0</v>
      </c>
      <c r="AP8" s="41">
        <v>0</v>
      </c>
      <c r="AQ8" s="41">
        <v>1445.663</v>
      </c>
      <c r="AR8" s="41"/>
      <c r="AS8" s="41"/>
      <c r="AT8" s="41">
        <v>750</v>
      </c>
      <c r="AU8" s="31"/>
      <c r="AV8" s="41"/>
      <c r="AW8" s="41">
        <v>0</v>
      </c>
      <c r="AX8" s="41">
        <v>0</v>
      </c>
      <c r="AY8" s="41"/>
      <c r="AZ8" s="41">
        <f>SUM('[2]project'!AU8,'[2]project'!AZ8)</f>
        <v>15591.892000000002</v>
      </c>
      <c r="BA8" s="31"/>
      <c r="BB8" s="41">
        <v>0</v>
      </c>
      <c r="BC8" s="41">
        <v>0</v>
      </c>
      <c r="BD8" s="41">
        <v>15953</v>
      </c>
      <c r="BE8" s="41"/>
      <c r="BF8" s="41">
        <v>488.01</v>
      </c>
      <c r="BG8" s="41">
        <v>78</v>
      </c>
      <c r="BH8" s="41">
        <v>78</v>
      </c>
      <c r="BI8" s="41">
        <v>0</v>
      </c>
      <c r="BJ8" s="41">
        <v>0</v>
      </c>
      <c r="BK8" s="41">
        <v>0</v>
      </c>
      <c r="BL8" s="41">
        <v>0</v>
      </c>
      <c r="BM8" s="41">
        <v>4191.506</v>
      </c>
      <c r="BN8" s="41">
        <v>0</v>
      </c>
      <c r="BO8" s="41"/>
      <c r="BP8" s="41">
        <f>700+551</f>
        <v>1251</v>
      </c>
      <c r="BQ8" s="41"/>
      <c r="BR8" s="41">
        <v>0</v>
      </c>
      <c r="BS8" s="41"/>
      <c r="BT8" s="41"/>
      <c r="BU8" s="41"/>
      <c r="BV8" s="41">
        <v>0</v>
      </c>
      <c r="BW8" s="41">
        <v>672</v>
      </c>
      <c r="BX8" s="41"/>
      <c r="BY8" s="41">
        <f>829.697+(1200/8)</f>
        <v>979.697</v>
      </c>
      <c r="BZ8" s="41">
        <v>400</v>
      </c>
      <c r="CA8" s="41">
        <v>930</v>
      </c>
      <c r="CB8" s="41"/>
      <c r="CC8" s="41">
        <v>5476.843</v>
      </c>
      <c r="CD8" s="41">
        <v>0</v>
      </c>
      <c r="CE8" s="41">
        <v>544.01</v>
      </c>
      <c r="CF8" s="31"/>
      <c r="CG8" s="41">
        <v>0</v>
      </c>
      <c r="CH8" s="41"/>
      <c r="CI8" s="41">
        <v>627.742</v>
      </c>
      <c r="CJ8" s="41"/>
      <c r="CK8" s="41" t="s">
        <v>596</v>
      </c>
      <c r="CL8" s="31"/>
      <c r="CM8" s="41">
        <v>164527.16</v>
      </c>
      <c r="CN8" s="31"/>
      <c r="CO8" s="41">
        <v>0</v>
      </c>
      <c r="CP8" s="31"/>
      <c r="CQ8" s="41">
        <v>1419</v>
      </c>
      <c r="CR8" s="41">
        <v>2675</v>
      </c>
      <c r="CS8" s="41">
        <v>0</v>
      </c>
      <c r="CT8" s="41">
        <v>12216.802</v>
      </c>
      <c r="CU8" s="31"/>
      <c r="CV8" s="41">
        <v>118776</v>
      </c>
      <c r="CW8" s="286"/>
      <c r="CX8" s="187">
        <f>15683+23135+11421</f>
        <v>50239</v>
      </c>
      <c r="CZ8" s="188">
        <v>0</v>
      </c>
      <c r="DA8" s="286"/>
      <c r="DB8" s="188">
        <v>0</v>
      </c>
      <c r="DC8" s="31"/>
      <c r="DD8" s="31">
        <v>0</v>
      </c>
      <c r="DE8" s="31"/>
      <c r="DF8" s="41">
        <v>36456.058</v>
      </c>
      <c r="DG8" s="31"/>
      <c r="DH8" s="41">
        <v>0</v>
      </c>
    </row>
    <row r="9" spans="1:112" ht="12.75" hidden="1">
      <c r="A9" s="61" t="s">
        <v>12</v>
      </c>
      <c r="B9" s="117">
        <v>37474</v>
      </c>
      <c r="C9" s="117">
        <v>10081</v>
      </c>
      <c r="D9" s="20">
        <v>37990</v>
      </c>
      <c r="E9" s="20">
        <v>0</v>
      </c>
      <c r="F9" s="33"/>
      <c r="G9" s="20">
        <v>4270</v>
      </c>
      <c r="H9" s="20"/>
      <c r="I9" s="33"/>
      <c r="J9" s="20">
        <v>0</v>
      </c>
      <c r="K9" s="20">
        <v>0</v>
      </c>
      <c r="L9" s="20">
        <v>3120.424</v>
      </c>
      <c r="M9" s="33"/>
      <c r="N9" s="117">
        <v>1237.465</v>
      </c>
      <c r="O9" s="116"/>
      <c r="P9" s="117">
        <v>3273.5</v>
      </c>
      <c r="Q9" s="117"/>
      <c r="R9" s="117">
        <v>0</v>
      </c>
      <c r="S9" s="33"/>
      <c r="T9" s="33">
        <v>0</v>
      </c>
      <c r="U9" s="33">
        <v>2487.15</v>
      </c>
      <c r="V9" s="33">
        <f aca="true" t="shared" si="0" ref="V9:V63">SUM(T9:U9)</f>
        <v>2487.15</v>
      </c>
      <c r="W9" s="33"/>
      <c r="X9" s="20"/>
      <c r="Y9" s="20"/>
      <c r="Z9" s="20"/>
      <c r="AA9" s="20"/>
      <c r="AB9" s="20"/>
      <c r="AC9" s="33"/>
      <c r="AD9" s="33"/>
      <c r="AE9" s="20">
        <v>101.532</v>
      </c>
      <c r="AF9" s="20">
        <v>993</v>
      </c>
      <c r="AG9" s="20">
        <v>0</v>
      </c>
      <c r="AH9" s="20">
        <v>26.951</v>
      </c>
      <c r="AI9" s="20">
        <v>0</v>
      </c>
      <c r="AJ9" s="20">
        <v>36.135</v>
      </c>
      <c r="AK9" s="20">
        <v>0</v>
      </c>
      <c r="AL9" s="20">
        <v>0</v>
      </c>
      <c r="AM9" s="20">
        <v>1002.55</v>
      </c>
      <c r="AN9" s="20">
        <v>0</v>
      </c>
      <c r="AO9" s="20">
        <v>0</v>
      </c>
      <c r="AP9" s="20">
        <v>0</v>
      </c>
      <c r="AQ9" s="20">
        <v>800</v>
      </c>
      <c r="AR9" s="20"/>
      <c r="AS9" s="20"/>
      <c r="AT9" s="20">
        <f>750+1373.24</f>
        <v>2123.24</v>
      </c>
      <c r="AU9" s="33"/>
      <c r="AV9" s="20"/>
      <c r="AW9" s="20">
        <f>1907+5000</f>
        <v>6907</v>
      </c>
      <c r="AX9" s="20">
        <f>299+433+600</f>
        <v>1332</v>
      </c>
      <c r="AY9" s="20"/>
      <c r="AZ9" s="20">
        <f>SUM('[2]project'!AU9,'[2]project'!AZ9)</f>
        <v>0</v>
      </c>
      <c r="BA9" s="33"/>
      <c r="BB9" s="20">
        <v>585.397</v>
      </c>
      <c r="BC9" s="20">
        <v>0</v>
      </c>
      <c r="BD9" s="20">
        <v>5028</v>
      </c>
      <c r="BE9" s="20"/>
      <c r="BF9" s="20">
        <v>478.869</v>
      </c>
      <c r="BG9" s="20">
        <v>0</v>
      </c>
      <c r="BH9" s="20">
        <v>0</v>
      </c>
      <c r="BI9" s="20">
        <v>156</v>
      </c>
      <c r="BJ9" s="20">
        <v>0</v>
      </c>
      <c r="BK9" s="20">
        <v>154</v>
      </c>
      <c r="BL9" s="20">
        <v>1350</v>
      </c>
      <c r="BM9" s="20">
        <v>0</v>
      </c>
      <c r="BN9" s="20">
        <v>0</v>
      </c>
      <c r="BO9" s="20"/>
      <c r="BP9" s="20">
        <v>629</v>
      </c>
      <c r="BQ9" s="20"/>
      <c r="BR9" s="20">
        <v>0</v>
      </c>
      <c r="BS9" s="20"/>
      <c r="BT9" s="20"/>
      <c r="BU9" s="20"/>
      <c r="BV9" s="20">
        <v>0</v>
      </c>
      <c r="BW9" s="20">
        <f>2240+1000+3000</f>
        <v>6240</v>
      </c>
      <c r="BX9" s="20"/>
      <c r="BY9" s="20">
        <v>0</v>
      </c>
      <c r="BZ9" s="20">
        <v>0</v>
      </c>
      <c r="CA9" s="20">
        <v>0</v>
      </c>
      <c r="CB9" s="20"/>
      <c r="CC9" s="20">
        <v>0</v>
      </c>
      <c r="CD9" s="20"/>
      <c r="CE9" s="20">
        <v>2117.669</v>
      </c>
      <c r="CF9" s="33"/>
      <c r="CG9" s="20">
        <v>0</v>
      </c>
      <c r="CH9" s="20"/>
      <c r="CI9" s="20">
        <v>262.969</v>
      </c>
      <c r="CJ9" s="20"/>
      <c r="CK9" s="20" t="s">
        <v>599</v>
      </c>
      <c r="CL9" s="33"/>
      <c r="CM9" s="20">
        <v>0</v>
      </c>
      <c r="CN9" s="33"/>
      <c r="CO9" s="20">
        <v>0</v>
      </c>
      <c r="CP9" s="33"/>
      <c r="CQ9" s="20">
        <v>3059.507</v>
      </c>
      <c r="CR9" s="20">
        <v>0</v>
      </c>
      <c r="CS9" s="20">
        <v>0</v>
      </c>
      <c r="CT9" s="20">
        <v>86865</v>
      </c>
      <c r="CU9" s="33"/>
      <c r="CV9" s="20">
        <v>29784</v>
      </c>
      <c r="CW9" s="33"/>
      <c r="CX9" s="257">
        <v>0</v>
      </c>
      <c r="CZ9" s="145">
        <v>0</v>
      </c>
      <c r="DA9" s="33"/>
      <c r="DB9" s="33">
        <v>124641.55</v>
      </c>
      <c r="DC9" s="33"/>
      <c r="DD9" s="33">
        <v>0</v>
      </c>
      <c r="DE9" s="33"/>
      <c r="DF9" s="20">
        <v>14346.267</v>
      </c>
      <c r="DG9" s="33"/>
      <c r="DH9" s="20">
        <v>229</v>
      </c>
    </row>
    <row r="10" spans="1:112" ht="12.75" hidden="1">
      <c r="A10" s="61" t="s">
        <v>13</v>
      </c>
      <c r="B10" s="117">
        <v>20417</v>
      </c>
      <c r="C10" s="117">
        <v>5939.5</v>
      </c>
      <c r="D10" s="20">
        <v>15257</v>
      </c>
      <c r="E10" s="20">
        <v>61675</v>
      </c>
      <c r="F10" s="33"/>
      <c r="G10" s="20">
        <v>3638</v>
      </c>
      <c r="H10" s="20"/>
      <c r="I10" s="33"/>
      <c r="J10" s="20">
        <v>0</v>
      </c>
      <c r="K10" s="20">
        <v>0</v>
      </c>
      <c r="L10" s="20">
        <v>0</v>
      </c>
      <c r="M10" s="33"/>
      <c r="N10" s="117">
        <v>90.902</v>
      </c>
      <c r="O10" s="116"/>
      <c r="P10" s="117">
        <v>24351.511</v>
      </c>
      <c r="Q10" s="117"/>
      <c r="R10" s="117">
        <v>0</v>
      </c>
      <c r="S10" s="33"/>
      <c r="T10" s="33">
        <v>0</v>
      </c>
      <c r="U10" s="33">
        <v>0</v>
      </c>
      <c r="V10" s="33">
        <f t="shared" si="0"/>
        <v>0</v>
      </c>
      <c r="W10" s="33"/>
      <c r="X10" s="20"/>
      <c r="Y10" s="20"/>
      <c r="Z10" s="20"/>
      <c r="AA10" s="20"/>
      <c r="AB10" s="20"/>
      <c r="AC10" s="33"/>
      <c r="AD10" s="33"/>
      <c r="AE10" s="20">
        <v>2618.532</v>
      </c>
      <c r="AF10" s="20">
        <v>12950</v>
      </c>
      <c r="AG10" s="20">
        <v>0</v>
      </c>
      <c r="AH10" s="20">
        <v>263.746</v>
      </c>
      <c r="AI10" s="20">
        <v>50</v>
      </c>
      <c r="AJ10" s="20">
        <v>53.775</v>
      </c>
      <c r="AK10" s="20">
        <v>320.557</v>
      </c>
      <c r="AL10" s="20">
        <v>0</v>
      </c>
      <c r="AM10" s="20">
        <v>0</v>
      </c>
      <c r="AN10" s="20">
        <v>0</v>
      </c>
      <c r="AO10" s="20">
        <v>0</v>
      </c>
      <c r="AP10" s="20">
        <v>0</v>
      </c>
      <c r="AQ10" s="20">
        <v>0</v>
      </c>
      <c r="AR10" s="20"/>
      <c r="AS10" s="20"/>
      <c r="AT10" s="20">
        <v>621.874</v>
      </c>
      <c r="AU10" s="33"/>
      <c r="AV10" s="20"/>
      <c r="AW10" s="20">
        <v>0</v>
      </c>
      <c r="AX10" s="20">
        <v>0</v>
      </c>
      <c r="AY10" s="20"/>
      <c r="AZ10" s="20">
        <f>SUM('[2]project'!AU10,'[2]project'!AZ10)</f>
        <v>3408</v>
      </c>
      <c r="BA10" s="33"/>
      <c r="BB10" s="20">
        <v>5548.3279999999995</v>
      </c>
      <c r="BC10" s="20">
        <v>125</v>
      </c>
      <c r="BD10" s="20">
        <v>12632</v>
      </c>
      <c r="BE10" s="20"/>
      <c r="BF10" s="20">
        <v>500</v>
      </c>
      <c r="BG10" s="20">
        <v>78</v>
      </c>
      <c r="BH10" s="20">
        <v>78</v>
      </c>
      <c r="BI10" s="20">
        <v>0</v>
      </c>
      <c r="BJ10" s="20">
        <v>0</v>
      </c>
      <c r="BK10" s="20">
        <v>337</v>
      </c>
      <c r="BL10" s="20">
        <v>96600.533</v>
      </c>
      <c r="BM10" s="20">
        <v>1018.034</v>
      </c>
      <c r="BN10" s="20">
        <f>1462.256+2911.082+685.993+1285.04+841.15+457.006</f>
        <v>7642.527</v>
      </c>
      <c r="BO10" s="20"/>
      <c r="BP10" s="20">
        <v>456</v>
      </c>
      <c r="BQ10" s="20"/>
      <c r="BR10" s="20">
        <v>0</v>
      </c>
      <c r="BS10" s="20"/>
      <c r="BT10" s="20"/>
      <c r="BU10" s="20"/>
      <c r="BV10" s="20">
        <v>0</v>
      </c>
      <c r="BW10" s="20">
        <v>4700</v>
      </c>
      <c r="BX10" s="20"/>
      <c r="BY10" s="20">
        <v>829.697</v>
      </c>
      <c r="BZ10" s="20">
        <v>526.9</v>
      </c>
      <c r="CA10" s="20">
        <v>0</v>
      </c>
      <c r="CB10" s="20"/>
      <c r="CC10" s="20">
        <v>10540.294</v>
      </c>
      <c r="CD10" s="20">
        <v>0</v>
      </c>
      <c r="CE10" s="20">
        <v>0</v>
      </c>
      <c r="CF10" s="33"/>
      <c r="CG10" s="20">
        <v>0</v>
      </c>
      <c r="CH10" s="20"/>
      <c r="CI10" s="20">
        <v>796.41</v>
      </c>
      <c r="CJ10" s="33"/>
      <c r="CK10" s="20"/>
      <c r="CL10" s="33"/>
      <c r="CM10" s="20">
        <v>94095.594</v>
      </c>
      <c r="CN10" s="33"/>
      <c r="CO10" s="20">
        <v>10338.856</v>
      </c>
      <c r="CP10" s="33"/>
      <c r="CQ10" s="20">
        <v>0</v>
      </c>
      <c r="CR10" s="20">
        <v>0</v>
      </c>
      <c r="CS10" s="20">
        <v>36000</v>
      </c>
      <c r="CT10" s="20">
        <v>29868.036</v>
      </c>
      <c r="CU10" s="33"/>
      <c r="CV10" s="20">
        <v>186292</v>
      </c>
      <c r="CW10" s="33"/>
      <c r="CX10" s="162">
        <f>16111+21375</f>
        <v>37486</v>
      </c>
      <c r="CZ10" s="145">
        <v>0</v>
      </c>
      <c r="DA10" s="33"/>
      <c r="DB10" s="33">
        <v>6000</v>
      </c>
      <c r="DC10" s="33"/>
      <c r="DD10" s="33">
        <v>16890</v>
      </c>
      <c r="DE10" s="33"/>
      <c r="DF10" s="20">
        <v>34375.088</v>
      </c>
      <c r="DG10" s="33"/>
      <c r="DH10" s="20">
        <v>41</v>
      </c>
    </row>
    <row r="11" spans="1:112" ht="12.75" hidden="1">
      <c r="A11" s="61" t="s">
        <v>14</v>
      </c>
      <c r="B11" s="117">
        <v>1996</v>
      </c>
      <c r="C11" s="117">
        <v>8287.5</v>
      </c>
      <c r="D11" s="20">
        <v>36262</v>
      </c>
      <c r="E11" s="20">
        <v>0</v>
      </c>
      <c r="F11" s="33"/>
      <c r="G11" s="20">
        <v>0</v>
      </c>
      <c r="H11" s="20"/>
      <c r="I11" s="33"/>
      <c r="J11" s="20">
        <v>1495</v>
      </c>
      <c r="K11" s="20">
        <v>134</v>
      </c>
      <c r="L11" s="20">
        <v>2225.586</v>
      </c>
      <c r="M11" s="33"/>
      <c r="N11" s="117">
        <v>2534</v>
      </c>
      <c r="O11" s="116"/>
      <c r="P11" s="117">
        <v>66232</v>
      </c>
      <c r="Q11" s="117"/>
      <c r="R11" s="117">
        <v>0</v>
      </c>
      <c r="S11" s="33"/>
      <c r="T11" s="33">
        <v>0</v>
      </c>
      <c r="U11" s="33">
        <v>0</v>
      </c>
      <c r="V11" s="33">
        <f t="shared" si="0"/>
        <v>0</v>
      </c>
      <c r="W11" s="33"/>
      <c r="X11" s="20"/>
      <c r="Y11" s="20"/>
      <c r="Z11" s="20"/>
      <c r="AA11" s="20"/>
      <c r="AB11" s="20"/>
      <c r="AC11" s="33"/>
      <c r="AD11" s="33"/>
      <c r="AE11" s="20">
        <v>1322.535</v>
      </c>
      <c r="AF11" s="20">
        <v>6532</v>
      </c>
      <c r="AG11" s="20">
        <v>14</v>
      </c>
      <c r="AH11" s="20">
        <v>80.821</v>
      </c>
      <c r="AI11" s="20">
        <v>0</v>
      </c>
      <c r="AJ11" s="20">
        <v>50.205</v>
      </c>
      <c r="AK11" s="20">
        <v>122.392</v>
      </c>
      <c r="AL11" s="20">
        <v>20.195</v>
      </c>
      <c r="AM11" s="20">
        <v>0</v>
      </c>
      <c r="AN11" s="20">
        <v>0</v>
      </c>
      <c r="AO11" s="20">
        <v>0</v>
      </c>
      <c r="AP11" s="20">
        <v>0</v>
      </c>
      <c r="AQ11" s="20">
        <v>1050</v>
      </c>
      <c r="AR11" s="20"/>
      <c r="AS11" s="20"/>
      <c r="AT11" s="20">
        <v>458.003</v>
      </c>
      <c r="AU11" s="33"/>
      <c r="AV11" s="20"/>
      <c r="AW11" s="20">
        <v>0</v>
      </c>
      <c r="AX11" s="20">
        <v>0</v>
      </c>
      <c r="AY11" s="20"/>
      <c r="AZ11" s="20">
        <f>SUM('[2]project'!AU11,'[2]project'!AZ11)</f>
        <v>5127.307000000001</v>
      </c>
      <c r="BA11" s="33"/>
      <c r="BB11" s="20">
        <v>0</v>
      </c>
      <c r="BC11" s="20">
        <v>0</v>
      </c>
      <c r="BD11" s="20">
        <v>8683</v>
      </c>
      <c r="BE11" s="20"/>
      <c r="BF11" s="20">
        <v>388.407</v>
      </c>
      <c r="BG11" s="20">
        <v>78</v>
      </c>
      <c r="BH11" s="20">
        <v>78</v>
      </c>
      <c r="BI11" s="20">
        <v>0</v>
      </c>
      <c r="BJ11" s="20">
        <v>0</v>
      </c>
      <c r="BK11" s="20">
        <v>0</v>
      </c>
      <c r="BL11" s="20">
        <v>0</v>
      </c>
      <c r="BM11" s="20">
        <v>302.129</v>
      </c>
      <c r="BN11" s="20">
        <v>0</v>
      </c>
      <c r="BO11" s="20"/>
      <c r="BP11" s="20">
        <v>0</v>
      </c>
      <c r="BQ11" s="20"/>
      <c r="BR11" s="20">
        <v>0</v>
      </c>
      <c r="BS11" s="20"/>
      <c r="BT11" s="20"/>
      <c r="BU11" s="20"/>
      <c r="BV11" s="20">
        <v>2100</v>
      </c>
      <c r="BW11" s="20">
        <f>1900+780+377.101+380</f>
        <v>3437.101</v>
      </c>
      <c r="BX11" s="20"/>
      <c r="BY11" s="20">
        <v>793.566</v>
      </c>
      <c r="BZ11" s="20">
        <v>0</v>
      </c>
      <c r="CA11" s="20">
        <v>0</v>
      </c>
      <c r="CB11" s="20"/>
      <c r="CC11" s="20">
        <v>1603</v>
      </c>
      <c r="CD11" s="20">
        <v>0</v>
      </c>
      <c r="CE11" s="20">
        <v>90</v>
      </c>
      <c r="CF11" s="33"/>
      <c r="CG11" s="20">
        <v>0</v>
      </c>
      <c r="CH11" s="20"/>
      <c r="CI11" s="20">
        <v>461.99</v>
      </c>
      <c r="CJ11" s="33"/>
      <c r="CK11" s="20"/>
      <c r="CL11" s="33"/>
      <c r="CM11" s="20">
        <v>2357.52</v>
      </c>
      <c r="CN11" s="33"/>
      <c r="CO11" s="20">
        <v>0</v>
      </c>
      <c r="CP11" s="33"/>
      <c r="CQ11" s="20">
        <v>350</v>
      </c>
      <c r="CR11" s="20">
        <v>0</v>
      </c>
      <c r="CS11" s="20">
        <v>0</v>
      </c>
      <c r="CT11" s="20">
        <v>13303.504</v>
      </c>
      <c r="CU11" s="33"/>
      <c r="CV11" s="20">
        <v>113443</v>
      </c>
      <c r="CW11" s="33"/>
      <c r="CX11" s="162">
        <v>0</v>
      </c>
      <c r="CZ11" s="145">
        <v>0</v>
      </c>
      <c r="DA11" s="33"/>
      <c r="DB11" s="145">
        <v>0</v>
      </c>
      <c r="DC11" s="33"/>
      <c r="DD11" s="33">
        <v>0</v>
      </c>
      <c r="DE11" s="33"/>
      <c r="DF11" s="20">
        <v>29170.283</v>
      </c>
      <c r="DG11" s="33"/>
      <c r="DH11" s="20">
        <v>504</v>
      </c>
    </row>
    <row r="12" spans="1:112" ht="12.75" hidden="1">
      <c r="A12" s="10" t="s">
        <v>15</v>
      </c>
      <c r="B12" s="219">
        <v>97404</v>
      </c>
      <c r="C12" s="219">
        <v>22357</v>
      </c>
      <c r="D12" s="21">
        <v>0</v>
      </c>
      <c r="E12" s="21">
        <v>241539</v>
      </c>
      <c r="F12" s="34"/>
      <c r="G12" s="21">
        <v>13284</v>
      </c>
      <c r="H12" s="21"/>
      <c r="I12" s="34"/>
      <c r="J12" s="21">
        <v>0</v>
      </c>
      <c r="K12" s="21">
        <v>19275</v>
      </c>
      <c r="L12" s="21">
        <v>7970.784</v>
      </c>
      <c r="M12" s="34"/>
      <c r="N12" s="219">
        <v>8443.991</v>
      </c>
      <c r="O12" s="297"/>
      <c r="P12" s="219">
        <v>16979.25</v>
      </c>
      <c r="Q12" s="297"/>
      <c r="R12" s="219">
        <v>0</v>
      </c>
      <c r="S12" s="34"/>
      <c r="T12" s="21">
        <v>0</v>
      </c>
      <c r="U12" s="21">
        <v>0</v>
      </c>
      <c r="V12" s="21">
        <f t="shared" si="0"/>
        <v>0</v>
      </c>
      <c r="W12" s="34"/>
      <c r="X12" s="21"/>
      <c r="Y12" s="21"/>
      <c r="Z12" s="21"/>
      <c r="AA12" s="21"/>
      <c r="AB12" s="21"/>
      <c r="AC12" s="21"/>
      <c r="AD12" s="34"/>
      <c r="AE12" s="21">
        <v>12004.5</v>
      </c>
      <c r="AF12" s="21">
        <v>58943</v>
      </c>
      <c r="AG12" s="21">
        <v>0</v>
      </c>
      <c r="AH12" s="21">
        <v>1261.979</v>
      </c>
      <c r="AI12" s="21">
        <v>2000</v>
      </c>
      <c r="AJ12" s="21">
        <v>104.775</v>
      </c>
      <c r="AK12" s="21">
        <v>2980.132</v>
      </c>
      <c r="AL12" s="21">
        <v>326.325</v>
      </c>
      <c r="AM12" s="21">
        <v>0</v>
      </c>
      <c r="AN12" s="21">
        <v>0</v>
      </c>
      <c r="AO12" s="21">
        <v>0</v>
      </c>
      <c r="AP12" s="21">
        <v>300</v>
      </c>
      <c r="AQ12" s="21">
        <v>2499.911</v>
      </c>
      <c r="AR12" s="21"/>
      <c r="AS12" s="21"/>
      <c r="AT12" s="21">
        <f>1865.625+1865.625+746.25</f>
        <v>4477.5</v>
      </c>
      <c r="AU12" s="34"/>
      <c r="AV12" s="21"/>
      <c r="AW12" s="21">
        <f>2000+2000+2000+2937</f>
        <v>8937</v>
      </c>
      <c r="AX12" s="21">
        <v>600</v>
      </c>
      <c r="AY12" s="21"/>
      <c r="AZ12" s="21">
        <f>SUM('[2]project'!AU12,'[2]project'!AZ12)</f>
        <v>73793.94699999999</v>
      </c>
      <c r="BA12" s="34"/>
      <c r="BB12" s="21">
        <v>14897.609</v>
      </c>
      <c r="BC12" s="21">
        <f>500+494.534+499.989</f>
        <v>1494.523</v>
      </c>
      <c r="BD12" s="21">
        <v>211193</v>
      </c>
      <c r="BE12" s="21"/>
      <c r="BF12" s="21">
        <v>3433.778</v>
      </c>
      <c r="BG12" s="21">
        <v>78</v>
      </c>
      <c r="BH12" s="21">
        <v>78</v>
      </c>
      <c r="BI12" s="21">
        <v>0</v>
      </c>
      <c r="BJ12" s="21">
        <f>446.7+400+400+450</f>
        <v>1696.7</v>
      </c>
      <c r="BK12" s="21">
        <v>246.4</v>
      </c>
      <c r="BL12" s="21">
        <v>3069.764</v>
      </c>
      <c r="BM12" s="21">
        <v>3745.489</v>
      </c>
      <c r="BN12" s="21">
        <f>2864.605+4999.996+800.7</f>
        <v>8665.301000000001</v>
      </c>
      <c r="BO12" s="21"/>
      <c r="BP12" s="21">
        <f>700+700+687</f>
        <v>2087</v>
      </c>
      <c r="BQ12" s="21"/>
      <c r="BR12" s="21">
        <v>0</v>
      </c>
      <c r="BS12" s="21"/>
      <c r="BT12" s="21"/>
      <c r="BU12" s="21"/>
      <c r="BV12" s="21">
        <f>1800+500</f>
        <v>2300</v>
      </c>
      <c r="BW12" s="21">
        <f>750+4766.25+4560+2500+2400</f>
        <v>14976.25</v>
      </c>
      <c r="BX12" s="21"/>
      <c r="BY12" s="21">
        <f>2000+8890+951.431+1990+4010+1560+2000+4000</f>
        <v>25401.431</v>
      </c>
      <c r="BZ12" s="21">
        <v>3350</v>
      </c>
      <c r="CA12" s="21">
        <v>2750</v>
      </c>
      <c r="CB12" s="21"/>
      <c r="CC12" s="21">
        <v>14739.043000000001</v>
      </c>
      <c r="CD12" s="21">
        <v>5143.219</v>
      </c>
      <c r="CE12" s="21">
        <v>35144.86000000001</v>
      </c>
      <c r="CF12" s="34"/>
      <c r="CG12" s="21">
        <v>0</v>
      </c>
      <c r="CH12" s="21"/>
      <c r="CI12" s="21">
        <v>3572.526</v>
      </c>
      <c r="CJ12" s="34"/>
      <c r="CK12" s="21"/>
      <c r="CL12" s="34"/>
      <c r="CM12" s="21">
        <v>203010.487</v>
      </c>
      <c r="CN12" s="34"/>
      <c r="CO12" s="21">
        <v>20851.744000000002</v>
      </c>
      <c r="CP12" s="34"/>
      <c r="CQ12" s="21">
        <v>3200</v>
      </c>
      <c r="CR12" s="21">
        <v>17486</v>
      </c>
      <c r="CS12" s="21">
        <v>66740</v>
      </c>
      <c r="CT12" s="21">
        <v>100693.428</v>
      </c>
      <c r="CU12" s="34"/>
      <c r="CV12" s="21">
        <v>773525</v>
      </c>
      <c r="CW12" s="34"/>
      <c r="CX12" s="142">
        <f>15720+18559+41398+37905+318816+26326+21251+27790+38877+19269+16055</f>
        <v>581966</v>
      </c>
      <c r="CZ12" s="145">
        <v>101633.90049</v>
      </c>
      <c r="DA12" s="34"/>
      <c r="DB12" s="142">
        <v>0</v>
      </c>
      <c r="DC12" s="34"/>
      <c r="DD12" s="21">
        <v>640498.383</v>
      </c>
      <c r="DE12" s="34"/>
      <c r="DF12" s="21">
        <v>283796.725</v>
      </c>
      <c r="DG12" s="34"/>
      <c r="DH12" s="21">
        <v>5765</v>
      </c>
    </row>
    <row r="13" spans="1:112" ht="12.75" hidden="1">
      <c r="A13" s="61" t="s">
        <v>16</v>
      </c>
      <c r="B13" s="117">
        <v>20457</v>
      </c>
      <c r="C13" s="117">
        <v>8949.208</v>
      </c>
      <c r="D13" s="20">
        <v>20195</v>
      </c>
      <c r="E13" s="20">
        <v>20060</v>
      </c>
      <c r="F13" s="33"/>
      <c r="G13" s="20">
        <v>1500</v>
      </c>
      <c r="H13" s="20"/>
      <c r="I13" s="33"/>
      <c r="J13" s="20">
        <v>0</v>
      </c>
      <c r="K13" s="20">
        <v>3580</v>
      </c>
      <c r="L13" s="20">
        <v>614.234</v>
      </c>
      <c r="M13" s="33"/>
      <c r="N13" s="117">
        <v>683.1129999999999</v>
      </c>
      <c r="O13" s="116"/>
      <c r="P13" s="117">
        <v>0</v>
      </c>
      <c r="Q13" s="117"/>
      <c r="R13" s="117">
        <v>0</v>
      </c>
      <c r="S13" s="33"/>
      <c r="T13" s="33">
        <v>444.066</v>
      </c>
      <c r="U13" s="33">
        <v>0</v>
      </c>
      <c r="V13" s="33">
        <f t="shared" si="0"/>
        <v>444.066</v>
      </c>
      <c r="W13" s="33"/>
      <c r="X13" s="20"/>
      <c r="Y13" s="20"/>
      <c r="Z13" s="20"/>
      <c r="AA13" s="20"/>
      <c r="AB13" s="20"/>
      <c r="AC13" s="33"/>
      <c r="AD13" s="33"/>
      <c r="AE13" s="20">
        <v>1497.2</v>
      </c>
      <c r="AF13" s="20">
        <v>7200</v>
      </c>
      <c r="AG13" s="20">
        <v>0</v>
      </c>
      <c r="AH13" s="20">
        <v>168.73</v>
      </c>
      <c r="AI13" s="20">
        <v>800</v>
      </c>
      <c r="AJ13" s="20">
        <v>35.84</v>
      </c>
      <c r="AK13" s="20">
        <v>0</v>
      </c>
      <c r="AL13" s="20">
        <v>0</v>
      </c>
      <c r="AM13" s="20">
        <v>837.257</v>
      </c>
      <c r="AN13" s="20">
        <v>0</v>
      </c>
      <c r="AO13" s="20">
        <v>0</v>
      </c>
      <c r="AP13" s="20">
        <v>0</v>
      </c>
      <c r="AQ13" s="20">
        <v>2299.684</v>
      </c>
      <c r="AR13" s="20"/>
      <c r="AS13" s="20"/>
      <c r="AT13" s="20">
        <f>1865.625+250</f>
        <v>2115.625</v>
      </c>
      <c r="AU13" s="33"/>
      <c r="AV13" s="20"/>
      <c r="AW13" s="20">
        <v>0</v>
      </c>
      <c r="AX13" s="20">
        <v>0</v>
      </c>
      <c r="AY13" s="20"/>
      <c r="AZ13" s="20">
        <f>SUM('[2]project'!AU13,'[2]project'!AZ13)</f>
        <v>28828.150999999998</v>
      </c>
      <c r="BA13" s="33"/>
      <c r="BB13" s="20">
        <v>2850.041</v>
      </c>
      <c r="BC13" s="20">
        <f>496.483+500</f>
        <v>996.483</v>
      </c>
      <c r="BD13" s="20">
        <v>5020</v>
      </c>
      <c r="BE13" s="20"/>
      <c r="BF13" s="20">
        <v>500</v>
      </c>
      <c r="BG13" s="20">
        <v>78</v>
      </c>
      <c r="BH13" s="20">
        <v>78</v>
      </c>
      <c r="BI13" s="20">
        <v>0</v>
      </c>
      <c r="BJ13" s="20">
        <v>0</v>
      </c>
      <c r="BK13" s="20">
        <v>0</v>
      </c>
      <c r="BL13" s="20">
        <v>0</v>
      </c>
      <c r="BM13" s="20">
        <v>1941.8200000000002</v>
      </c>
      <c r="BN13" s="20">
        <v>0</v>
      </c>
      <c r="BO13" s="20"/>
      <c r="BP13" s="20">
        <v>699</v>
      </c>
      <c r="BQ13" s="20"/>
      <c r="BR13" s="20">
        <v>0</v>
      </c>
      <c r="BS13" s="20"/>
      <c r="BT13" s="20"/>
      <c r="BU13" s="20"/>
      <c r="BV13" s="20">
        <v>0</v>
      </c>
      <c r="BW13" s="20">
        <v>0</v>
      </c>
      <c r="BX13" s="20"/>
      <c r="BY13" s="20">
        <f>700+850+1250+(850/6)</f>
        <v>2941.6666666666665</v>
      </c>
      <c r="BZ13" s="20">
        <v>200</v>
      </c>
      <c r="CA13" s="20">
        <v>2800</v>
      </c>
      <c r="CB13" s="20"/>
      <c r="CC13" s="20">
        <v>2867.232</v>
      </c>
      <c r="CD13" s="20">
        <v>0</v>
      </c>
      <c r="CE13" s="20">
        <v>0</v>
      </c>
      <c r="CF13" s="33"/>
      <c r="CG13" s="20">
        <v>157.809</v>
      </c>
      <c r="CH13" s="20"/>
      <c r="CI13" s="20">
        <v>653.209</v>
      </c>
      <c r="CJ13" s="33"/>
      <c r="CK13" s="20"/>
      <c r="CL13" s="33"/>
      <c r="CM13" s="20">
        <v>24244.117</v>
      </c>
      <c r="CN13" s="33"/>
      <c r="CO13" s="20">
        <v>14137.548999999999</v>
      </c>
      <c r="CP13" s="33"/>
      <c r="CQ13" s="20">
        <v>0</v>
      </c>
      <c r="CR13" s="20">
        <v>1095</v>
      </c>
      <c r="CS13" s="20">
        <v>40000</v>
      </c>
      <c r="CT13" s="20">
        <v>39127.739</v>
      </c>
      <c r="CU13" s="33"/>
      <c r="CV13" s="20">
        <v>87147</v>
      </c>
      <c r="CW13" s="33"/>
      <c r="CX13" s="162">
        <v>24022</v>
      </c>
      <c r="CZ13" s="285">
        <v>3661.37045</v>
      </c>
      <c r="DA13" s="33"/>
      <c r="DB13" s="33">
        <v>28340</v>
      </c>
      <c r="DC13" s="33"/>
      <c r="DD13" s="33">
        <v>0</v>
      </c>
      <c r="DE13" s="33"/>
      <c r="DF13" s="20">
        <v>17823.862</v>
      </c>
      <c r="DG13" s="33"/>
      <c r="DH13" s="20">
        <v>833</v>
      </c>
    </row>
    <row r="14" spans="1:112" ht="12.75" hidden="1">
      <c r="A14" s="61" t="s">
        <v>17</v>
      </c>
      <c r="B14" s="117">
        <v>457</v>
      </c>
      <c r="C14" s="117">
        <v>212</v>
      </c>
      <c r="D14" s="20">
        <v>0</v>
      </c>
      <c r="E14" s="20">
        <v>0</v>
      </c>
      <c r="F14" s="33"/>
      <c r="G14" s="20">
        <v>0</v>
      </c>
      <c r="H14" s="20"/>
      <c r="I14" s="33"/>
      <c r="J14" s="20">
        <v>0</v>
      </c>
      <c r="K14" s="20">
        <v>0</v>
      </c>
      <c r="L14" s="20">
        <v>888.27</v>
      </c>
      <c r="M14" s="33"/>
      <c r="N14" s="117">
        <v>4323.896</v>
      </c>
      <c r="O14" s="116"/>
      <c r="P14" s="117">
        <v>36250.49</v>
      </c>
      <c r="Q14" s="117"/>
      <c r="R14" s="117">
        <v>650.6</v>
      </c>
      <c r="S14" s="33"/>
      <c r="T14" s="33">
        <v>0</v>
      </c>
      <c r="U14" s="33">
        <v>0</v>
      </c>
      <c r="V14" s="33">
        <f t="shared" si="0"/>
        <v>0</v>
      </c>
      <c r="W14" s="33"/>
      <c r="X14" s="20"/>
      <c r="Y14" s="20"/>
      <c r="Z14" s="20"/>
      <c r="AA14" s="20"/>
      <c r="AB14" s="20"/>
      <c r="AC14" s="33"/>
      <c r="AD14" s="33"/>
      <c r="AE14" s="20">
        <v>371.081</v>
      </c>
      <c r="AF14" s="20">
        <v>3253</v>
      </c>
      <c r="AG14" s="20">
        <v>0</v>
      </c>
      <c r="AH14" s="20">
        <v>105.757</v>
      </c>
      <c r="AI14" s="20">
        <v>0</v>
      </c>
      <c r="AJ14" s="20">
        <v>36.775</v>
      </c>
      <c r="AK14" s="20">
        <v>53.52</v>
      </c>
      <c r="AL14" s="20">
        <v>0</v>
      </c>
      <c r="AM14" s="20">
        <v>0</v>
      </c>
      <c r="AN14" s="20">
        <v>0</v>
      </c>
      <c r="AO14" s="20">
        <v>0</v>
      </c>
      <c r="AP14" s="20">
        <v>0</v>
      </c>
      <c r="AQ14" s="20">
        <v>1250</v>
      </c>
      <c r="AR14" s="20"/>
      <c r="AS14" s="20"/>
      <c r="AT14" s="20">
        <v>400</v>
      </c>
      <c r="AU14" s="33"/>
      <c r="AV14" s="20"/>
      <c r="AW14" s="20">
        <v>0</v>
      </c>
      <c r="AX14" s="20">
        <v>0</v>
      </c>
      <c r="AY14" s="20"/>
      <c r="AZ14" s="20">
        <f>SUM('[2]project'!AU14,'[2]project'!AZ14)</f>
        <v>31656.124000000003</v>
      </c>
      <c r="BA14" s="33"/>
      <c r="BB14" s="20">
        <v>0</v>
      </c>
      <c r="BC14" s="20">
        <v>0</v>
      </c>
      <c r="BD14" s="20">
        <v>13761</v>
      </c>
      <c r="BE14" s="20"/>
      <c r="BF14" s="20">
        <v>492.524</v>
      </c>
      <c r="BG14" s="20">
        <v>78</v>
      </c>
      <c r="BH14" s="20">
        <v>78</v>
      </c>
      <c r="BI14" s="20">
        <v>0</v>
      </c>
      <c r="BJ14" s="20">
        <v>0</v>
      </c>
      <c r="BK14" s="20">
        <v>0</v>
      </c>
      <c r="BL14" s="20">
        <v>0</v>
      </c>
      <c r="BM14" s="20">
        <v>0</v>
      </c>
      <c r="BN14" s="20">
        <v>0</v>
      </c>
      <c r="BO14" s="20"/>
      <c r="BP14" s="20">
        <f>605+464</f>
        <v>1069</v>
      </c>
      <c r="BQ14" s="20"/>
      <c r="BR14" s="20">
        <v>0</v>
      </c>
      <c r="BS14" s="20"/>
      <c r="BT14" s="20"/>
      <c r="BU14" s="20"/>
      <c r="BV14" s="20">
        <v>0</v>
      </c>
      <c r="BW14" s="20">
        <v>550</v>
      </c>
      <c r="BX14" s="20"/>
      <c r="BY14" s="20">
        <f>1050+(1150/6)</f>
        <v>1241.6666666666667</v>
      </c>
      <c r="BZ14" s="20">
        <v>745.033</v>
      </c>
      <c r="CA14" s="20">
        <v>1350</v>
      </c>
      <c r="CB14" s="20"/>
      <c r="CC14" s="20">
        <v>3394.679</v>
      </c>
      <c r="CD14" s="20">
        <v>20033.426</v>
      </c>
      <c r="CE14" s="20">
        <v>2521.432</v>
      </c>
      <c r="CF14" s="33"/>
      <c r="CG14" s="20">
        <v>2578.717</v>
      </c>
      <c r="CH14" s="20"/>
      <c r="CI14" s="20">
        <v>521.25</v>
      </c>
      <c r="CJ14" s="33"/>
      <c r="CK14" s="20"/>
      <c r="CL14" s="33"/>
      <c r="CM14" s="20">
        <v>9188.05</v>
      </c>
      <c r="CN14" s="33"/>
      <c r="CO14" s="20">
        <v>2251.183</v>
      </c>
      <c r="CP14" s="33"/>
      <c r="CQ14" s="20">
        <v>0</v>
      </c>
      <c r="CR14" s="20">
        <v>7000</v>
      </c>
      <c r="CS14" s="20">
        <v>0</v>
      </c>
      <c r="CT14" s="20">
        <v>8350</v>
      </c>
      <c r="CU14" s="33"/>
      <c r="CV14" s="20">
        <v>105092</v>
      </c>
      <c r="CW14" s="33"/>
      <c r="CX14" s="162">
        <v>0</v>
      </c>
      <c r="CZ14" s="145">
        <v>0</v>
      </c>
      <c r="DA14" s="33"/>
      <c r="DB14" s="145">
        <v>0</v>
      </c>
      <c r="DC14" s="33"/>
      <c r="DD14" s="33">
        <v>0</v>
      </c>
      <c r="DE14" s="33"/>
      <c r="DF14" s="20">
        <v>50567.903</v>
      </c>
      <c r="DG14" s="33"/>
      <c r="DH14" s="20">
        <v>0</v>
      </c>
    </row>
    <row r="15" spans="1:112" ht="12.75" hidden="1">
      <c r="A15" s="61" t="s">
        <v>18</v>
      </c>
      <c r="B15" s="117">
        <v>0</v>
      </c>
      <c r="C15" s="117">
        <v>241</v>
      </c>
      <c r="D15" s="20">
        <v>0</v>
      </c>
      <c r="E15" s="20">
        <v>0</v>
      </c>
      <c r="F15" s="33"/>
      <c r="G15" s="20">
        <v>895</v>
      </c>
      <c r="H15" s="20"/>
      <c r="I15" s="33"/>
      <c r="J15" s="20">
        <v>0</v>
      </c>
      <c r="K15" s="20">
        <v>0</v>
      </c>
      <c r="L15" s="20">
        <v>0</v>
      </c>
      <c r="M15" s="33"/>
      <c r="N15" s="117">
        <v>210</v>
      </c>
      <c r="O15" s="116"/>
      <c r="P15" s="117">
        <v>10626</v>
      </c>
      <c r="Q15" s="117"/>
      <c r="R15" s="117">
        <v>0</v>
      </c>
      <c r="S15" s="33"/>
      <c r="T15" s="33">
        <v>250</v>
      </c>
      <c r="U15" s="33">
        <v>0</v>
      </c>
      <c r="V15" s="33">
        <f t="shared" si="0"/>
        <v>250</v>
      </c>
      <c r="W15" s="33"/>
      <c r="X15" s="20"/>
      <c r="Y15" s="20"/>
      <c r="Z15" s="20"/>
      <c r="AA15" s="20"/>
      <c r="AB15" s="20"/>
      <c r="AC15" s="33"/>
      <c r="AD15" s="33"/>
      <c r="AE15" s="20">
        <v>243.542</v>
      </c>
      <c r="AF15" s="20">
        <v>1192</v>
      </c>
      <c r="AG15" s="20">
        <v>0</v>
      </c>
      <c r="AH15" s="20">
        <v>36.467</v>
      </c>
      <c r="AI15" s="20">
        <v>100</v>
      </c>
      <c r="AJ15" s="20">
        <v>29.21</v>
      </c>
      <c r="AK15" s="20">
        <v>0</v>
      </c>
      <c r="AL15" s="20">
        <v>0</v>
      </c>
      <c r="AM15" s="20">
        <v>0</v>
      </c>
      <c r="AN15" s="20">
        <v>0</v>
      </c>
      <c r="AO15" s="20">
        <v>0</v>
      </c>
      <c r="AP15" s="20">
        <v>0</v>
      </c>
      <c r="AQ15" s="20">
        <v>0</v>
      </c>
      <c r="AR15" s="20"/>
      <c r="AS15" s="20"/>
      <c r="AT15" s="20">
        <v>555.262</v>
      </c>
      <c r="AU15" s="33"/>
      <c r="AV15" s="20"/>
      <c r="AW15" s="20">
        <v>0</v>
      </c>
      <c r="AX15" s="20">
        <v>0</v>
      </c>
      <c r="AY15" s="20"/>
      <c r="AZ15" s="20">
        <f>SUM('[2]project'!AU15,'[2]project'!AZ15)</f>
        <v>13992.778</v>
      </c>
      <c r="BA15" s="33"/>
      <c r="BB15" s="20">
        <v>0</v>
      </c>
      <c r="BC15" s="20">
        <v>0</v>
      </c>
      <c r="BD15" s="20">
        <v>5124</v>
      </c>
      <c r="BE15" s="20"/>
      <c r="BF15" s="20">
        <v>0</v>
      </c>
      <c r="BG15" s="20">
        <v>78</v>
      </c>
      <c r="BH15" s="20">
        <v>78</v>
      </c>
      <c r="BI15" s="20">
        <v>0</v>
      </c>
      <c r="BJ15" s="20">
        <v>0</v>
      </c>
      <c r="BK15" s="20">
        <v>0</v>
      </c>
      <c r="BL15" s="20">
        <v>0</v>
      </c>
      <c r="BM15" s="20">
        <v>0</v>
      </c>
      <c r="BN15" s="20">
        <v>0</v>
      </c>
      <c r="BO15" s="20"/>
      <c r="BP15" s="20">
        <v>0</v>
      </c>
      <c r="BQ15" s="20"/>
      <c r="BR15" s="20">
        <v>0</v>
      </c>
      <c r="BS15" s="20"/>
      <c r="BT15" s="20"/>
      <c r="BU15" s="20"/>
      <c r="BV15" s="20">
        <v>0</v>
      </c>
      <c r="BW15" s="20">
        <f>2268.75+800</f>
        <v>3068.75</v>
      </c>
      <c r="BX15" s="20"/>
      <c r="BY15" s="20">
        <v>0</v>
      </c>
      <c r="BZ15" s="20">
        <v>0</v>
      </c>
      <c r="CA15" s="20">
        <v>0</v>
      </c>
      <c r="CB15" s="20"/>
      <c r="CC15" s="20">
        <v>0</v>
      </c>
      <c r="CD15" s="20">
        <v>0</v>
      </c>
      <c r="CE15" s="20">
        <v>4356.619</v>
      </c>
      <c r="CF15" s="33"/>
      <c r="CG15" s="20">
        <v>0</v>
      </c>
      <c r="CH15" s="20"/>
      <c r="CI15" s="20">
        <v>280.109</v>
      </c>
      <c r="CJ15" s="33"/>
      <c r="CK15" s="20"/>
      <c r="CL15" s="33"/>
      <c r="CM15" s="20">
        <v>0</v>
      </c>
      <c r="CN15" s="33"/>
      <c r="CO15" s="20">
        <v>13462.162</v>
      </c>
      <c r="CP15" s="33"/>
      <c r="CQ15" s="20">
        <v>0</v>
      </c>
      <c r="CR15" s="20">
        <v>1500</v>
      </c>
      <c r="CS15" s="20">
        <v>0</v>
      </c>
      <c r="CT15" s="20">
        <v>950</v>
      </c>
      <c r="CU15" s="33"/>
      <c r="CV15" s="20">
        <v>29784</v>
      </c>
      <c r="CW15" s="33"/>
      <c r="CX15" s="162">
        <v>0</v>
      </c>
      <c r="CZ15" s="145">
        <v>0</v>
      </c>
      <c r="DA15" s="33"/>
      <c r="DB15" s="145">
        <v>0</v>
      </c>
      <c r="DC15" s="33"/>
      <c r="DD15" s="33">
        <v>2700.77</v>
      </c>
      <c r="DE15" s="33"/>
      <c r="DF15" s="20">
        <v>16605.838</v>
      </c>
      <c r="DG15" s="33"/>
      <c r="DH15" s="20">
        <v>154</v>
      </c>
    </row>
    <row r="16" spans="1:112" ht="12.75" hidden="1">
      <c r="A16" s="61" t="s">
        <v>184</v>
      </c>
      <c r="B16" s="117">
        <v>76881</v>
      </c>
      <c r="C16" s="117">
        <v>0</v>
      </c>
      <c r="D16" s="20">
        <v>7193</v>
      </c>
      <c r="E16" s="20">
        <v>0</v>
      </c>
      <c r="F16" s="33"/>
      <c r="G16" s="20">
        <v>2782</v>
      </c>
      <c r="H16" s="20"/>
      <c r="I16" s="33"/>
      <c r="J16" s="20">
        <v>0</v>
      </c>
      <c r="K16" s="20">
        <v>0</v>
      </c>
      <c r="L16" s="20">
        <v>0</v>
      </c>
      <c r="M16" s="33"/>
      <c r="N16" s="117">
        <v>0</v>
      </c>
      <c r="O16" s="116"/>
      <c r="P16" s="117">
        <v>0</v>
      </c>
      <c r="Q16" s="117"/>
      <c r="R16" s="117">
        <v>0</v>
      </c>
      <c r="S16" s="33"/>
      <c r="T16" s="33">
        <v>300</v>
      </c>
      <c r="U16" s="33">
        <v>0</v>
      </c>
      <c r="V16" s="33">
        <f t="shared" si="0"/>
        <v>300</v>
      </c>
      <c r="W16" s="33"/>
      <c r="X16" s="20"/>
      <c r="Y16" s="20"/>
      <c r="Z16" s="20"/>
      <c r="AA16" s="20"/>
      <c r="AB16" s="20"/>
      <c r="AC16" s="33"/>
      <c r="AD16" s="33"/>
      <c r="AE16" s="20">
        <v>128.808</v>
      </c>
      <c r="AF16" s="20">
        <v>1137</v>
      </c>
      <c r="AG16" s="20">
        <v>0</v>
      </c>
      <c r="AH16" s="20">
        <v>1.941</v>
      </c>
      <c r="AI16" s="20">
        <v>450</v>
      </c>
      <c r="AJ16" s="20">
        <v>29.38</v>
      </c>
      <c r="AK16" s="20">
        <v>353.594</v>
      </c>
      <c r="AL16" s="20">
        <v>0</v>
      </c>
      <c r="AM16" s="20">
        <v>0</v>
      </c>
      <c r="AN16" s="20">
        <v>0</v>
      </c>
      <c r="AO16" s="20">
        <v>0</v>
      </c>
      <c r="AP16" s="20">
        <v>0</v>
      </c>
      <c r="AQ16" s="20">
        <v>250</v>
      </c>
      <c r="AR16" s="20"/>
      <c r="AS16" s="20"/>
      <c r="AT16" s="20">
        <v>0</v>
      </c>
      <c r="AU16" s="33"/>
      <c r="AV16" s="20"/>
      <c r="AW16" s="20">
        <v>0</v>
      </c>
      <c r="AX16" s="20">
        <v>0</v>
      </c>
      <c r="AY16" s="20"/>
      <c r="AZ16" s="20">
        <f>SUM('[2]project'!AU16,'[2]project'!AZ16)</f>
        <v>34406.62099999999</v>
      </c>
      <c r="BA16" s="33"/>
      <c r="BB16" s="20">
        <v>0</v>
      </c>
      <c r="BC16" s="20">
        <v>0</v>
      </c>
      <c r="BD16" s="20">
        <v>12147</v>
      </c>
      <c r="BE16" s="20"/>
      <c r="BF16" s="20">
        <v>989.164</v>
      </c>
      <c r="BG16" s="20">
        <v>78</v>
      </c>
      <c r="BH16" s="20">
        <v>78</v>
      </c>
      <c r="BI16" s="20">
        <v>0</v>
      </c>
      <c r="BJ16" s="20">
        <v>0</v>
      </c>
      <c r="BK16" s="20">
        <v>0</v>
      </c>
      <c r="BL16" s="20">
        <v>0</v>
      </c>
      <c r="BM16" s="20">
        <v>0</v>
      </c>
      <c r="BN16" s="20">
        <v>0</v>
      </c>
      <c r="BO16" s="20"/>
      <c r="BP16" s="20">
        <f>700+699</f>
        <v>1399</v>
      </c>
      <c r="BQ16" s="20"/>
      <c r="BR16" s="20">
        <v>0</v>
      </c>
      <c r="BS16" s="20"/>
      <c r="BT16" s="20"/>
      <c r="BU16" s="20"/>
      <c r="BV16" s="20">
        <v>1500</v>
      </c>
      <c r="BW16" s="20">
        <v>0</v>
      </c>
      <c r="BX16" s="20"/>
      <c r="BY16" s="20">
        <v>0</v>
      </c>
      <c r="BZ16" s="20">
        <v>0</v>
      </c>
      <c r="CA16" s="20">
        <v>0</v>
      </c>
      <c r="CB16" s="20"/>
      <c r="CC16" s="20">
        <v>0</v>
      </c>
      <c r="CD16" s="20">
        <v>9560.064</v>
      </c>
      <c r="CE16" s="20">
        <v>253.017</v>
      </c>
      <c r="CF16" s="33"/>
      <c r="CG16" s="20">
        <v>0</v>
      </c>
      <c r="CH16" s="20"/>
      <c r="CI16" s="20">
        <v>254.302</v>
      </c>
      <c r="CJ16" s="33"/>
      <c r="CK16" s="20"/>
      <c r="CL16" s="33"/>
      <c r="CM16" s="20">
        <v>149400</v>
      </c>
      <c r="CN16" s="33"/>
      <c r="CO16" s="20">
        <v>0</v>
      </c>
      <c r="CP16" s="33"/>
      <c r="CQ16" s="20">
        <v>0</v>
      </c>
      <c r="CR16" s="20">
        <v>0</v>
      </c>
      <c r="CS16" s="20">
        <v>0</v>
      </c>
      <c r="CT16" s="20">
        <v>15000</v>
      </c>
      <c r="CU16" s="33"/>
      <c r="CV16" s="20">
        <v>0</v>
      </c>
      <c r="CW16" s="33"/>
      <c r="CX16" s="162">
        <v>33936</v>
      </c>
      <c r="CZ16" s="145">
        <v>0</v>
      </c>
      <c r="DA16" s="33"/>
      <c r="DB16" s="145">
        <v>0</v>
      </c>
      <c r="DC16" s="33"/>
      <c r="DD16" s="33">
        <v>0</v>
      </c>
      <c r="DE16" s="33"/>
      <c r="DF16" s="20">
        <v>33770.695</v>
      </c>
      <c r="DG16" s="33"/>
      <c r="DH16" s="20">
        <v>227</v>
      </c>
    </row>
    <row r="17" spans="1:112" ht="12.75" hidden="1">
      <c r="A17" s="10" t="s">
        <v>20</v>
      </c>
      <c r="B17" s="219">
        <v>17324</v>
      </c>
      <c r="C17" s="219">
        <v>6956</v>
      </c>
      <c r="D17" s="21">
        <v>1057</v>
      </c>
      <c r="E17" s="21">
        <v>0</v>
      </c>
      <c r="F17" s="34"/>
      <c r="G17" s="21">
        <v>1570</v>
      </c>
      <c r="H17" s="21"/>
      <c r="I17" s="34"/>
      <c r="J17" s="21">
        <v>0</v>
      </c>
      <c r="K17" s="21">
        <v>0</v>
      </c>
      <c r="L17" s="21">
        <v>0</v>
      </c>
      <c r="M17" s="34"/>
      <c r="N17" s="219">
        <v>972.5</v>
      </c>
      <c r="O17" s="297"/>
      <c r="P17" s="219">
        <v>6867.7</v>
      </c>
      <c r="Q17" s="297"/>
      <c r="R17" s="219">
        <v>0</v>
      </c>
      <c r="S17" s="34"/>
      <c r="T17" s="21">
        <v>0</v>
      </c>
      <c r="U17" s="21">
        <v>0</v>
      </c>
      <c r="V17" s="21">
        <f t="shared" si="0"/>
        <v>0</v>
      </c>
      <c r="W17" s="34"/>
      <c r="X17" s="21"/>
      <c r="Y17" s="21"/>
      <c r="Z17" s="21"/>
      <c r="AA17" s="21"/>
      <c r="AB17" s="21"/>
      <c r="AC17" s="21"/>
      <c r="AD17" s="34"/>
      <c r="AE17" s="21">
        <v>5426.084</v>
      </c>
      <c r="AF17" s="21">
        <v>26998</v>
      </c>
      <c r="AG17" s="21">
        <v>16.25</v>
      </c>
      <c r="AH17" s="21">
        <v>442.273</v>
      </c>
      <c r="AI17" s="21">
        <v>0</v>
      </c>
      <c r="AJ17" s="21">
        <v>44.17</v>
      </c>
      <c r="AK17" s="21">
        <v>2107.812</v>
      </c>
      <c r="AL17" s="21">
        <v>167.971</v>
      </c>
      <c r="AM17" s="21">
        <v>823.804</v>
      </c>
      <c r="AN17" s="21">
        <v>0</v>
      </c>
      <c r="AO17" s="21">
        <v>0</v>
      </c>
      <c r="AP17" s="21">
        <v>0</v>
      </c>
      <c r="AQ17" s="21">
        <v>1468.065</v>
      </c>
      <c r="AR17" s="21"/>
      <c r="AS17" s="21"/>
      <c r="AT17" s="21">
        <v>555</v>
      </c>
      <c r="AU17" s="34"/>
      <c r="AV17" s="21"/>
      <c r="AW17" s="21">
        <v>0</v>
      </c>
      <c r="AX17" s="21">
        <v>0</v>
      </c>
      <c r="AY17" s="21"/>
      <c r="AZ17" s="21">
        <f>SUM('[2]project'!AU17,'[2]project'!AZ17)</f>
        <v>51712.553</v>
      </c>
      <c r="BA17" s="34"/>
      <c r="BB17" s="21">
        <v>11306.484</v>
      </c>
      <c r="BC17" s="21">
        <v>0</v>
      </c>
      <c r="BD17" s="21">
        <v>87873</v>
      </c>
      <c r="BE17" s="21"/>
      <c r="BF17" s="21">
        <v>997.176</v>
      </c>
      <c r="BG17" s="21">
        <v>78</v>
      </c>
      <c r="BH17" s="21">
        <v>78</v>
      </c>
      <c r="BI17" s="21">
        <v>0</v>
      </c>
      <c r="BJ17" s="21">
        <v>0</v>
      </c>
      <c r="BK17" s="21">
        <v>0</v>
      </c>
      <c r="BL17" s="21">
        <v>0</v>
      </c>
      <c r="BM17" s="21">
        <v>897.082</v>
      </c>
      <c r="BN17" s="21">
        <v>0</v>
      </c>
      <c r="BO17" s="21"/>
      <c r="BP17" s="21">
        <f>700+700</f>
        <v>1400</v>
      </c>
      <c r="BQ17" s="21"/>
      <c r="BR17" s="21">
        <v>0</v>
      </c>
      <c r="BS17" s="21"/>
      <c r="BT17" s="21"/>
      <c r="BU17" s="21"/>
      <c r="BV17" s="21">
        <v>0</v>
      </c>
      <c r="BW17" s="21">
        <f>2224.632+250</f>
        <v>2474.632</v>
      </c>
      <c r="BX17" s="21"/>
      <c r="BY17" s="21">
        <f>731.85+347.288+2000+731.85+(1200/8)</f>
        <v>3960.988</v>
      </c>
      <c r="BZ17" s="21">
        <v>2200</v>
      </c>
      <c r="CA17" s="21">
        <v>450</v>
      </c>
      <c r="CB17" s="21"/>
      <c r="CC17" s="21">
        <v>6784.197</v>
      </c>
      <c r="CD17" s="21">
        <v>0</v>
      </c>
      <c r="CE17" s="21">
        <v>9506.180999999999</v>
      </c>
      <c r="CF17" s="34"/>
      <c r="CG17" s="21">
        <v>0</v>
      </c>
      <c r="CH17" s="21"/>
      <c r="CI17" s="21">
        <v>1881.676</v>
      </c>
      <c r="CJ17" s="34"/>
      <c r="CK17" s="21"/>
      <c r="CL17" s="34"/>
      <c r="CM17" s="21">
        <v>267197.537</v>
      </c>
      <c r="CN17" s="34"/>
      <c r="CO17" s="21">
        <v>0</v>
      </c>
      <c r="CP17" s="34"/>
      <c r="CQ17" s="21">
        <v>3000</v>
      </c>
      <c r="CR17" s="21">
        <v>2320</v>
      </c>
      <c r="CS17" s="21">
        <v>0</v>
      </c>
      <c r="CT17" s="21">
        <v>71895.657</v>
      </c>
      <c r="CU17" s="34"/>
      <c r="CV17" s="21">
        <v>106806</v>
      </c>
      <c r="CW17" s="34"/>
      <c r="CX17" s="142">
        <f>49913+104855+27220+40633+12701+35824+33643+11028+24352+20543+11941</f>
        <v>372653</v>
      </c>
      <c r="CZ17" s="142">
        <v>0</v>
      </c>
      <c r="DA17" s="34"/>
      <c r="DB17" s="21">
        <v>34000</v>
      </c>
      <c r="DC17" s="34"/>
      <c r="DD17" s="21">
        <v>0</v>
      </c>
      <c r="DE17" s="34"/>
      <c r="DF17" s="21">
        <v>580096.634</v>
      </c>
      <c r="DG17" s="34"/>
      <c r="DH17" s="21">
        <v>500</v>
      </c>
    </row>
    <row r="18" spans="1:112" ht="12.75" hidden="1">
      <c r="A18" s="61" t="s">
        <v>21</v>
      </c>
      <c r="B18" s="117">
        <v>2460</v>
      </c>
      <c r="C18" s="117">
        <v>3420.5</v>
      </c>
      <c r="D18" s="20">
        <v>0</v>
      </c>
      <c r="E18" s="20">
        <v>0</v>
      </c>
      <c r="F18" s="33"/>
      <c r="G18" s="20">
        <v>897</v>
      </c>
      <c r="H18" s="20"/>
      <c r="I18" s="33"/>
      <c r="J18" s="20">
        <v>6165</v>
      </c>
      <c r="K18" s="20">
        <v>0</v>
      </c>
      <c r="L18" s="20">
        <v>3641.268</v>
      </c>
      <c r="M18" s="33"/>
      <c r="N18" s="117">
        <v>1691.272</v>
      </c>
      <c r="O18" s="116"/>
      <c r="P18" s="117">
        <v>32271.3</v>
      </c>
      <c r="Q18" s="117"/>
      <c r="R18" s="117">
        <v>0</v>
      </c>
      <c r="S18" s="33"/>
      <c r="T18" s="33">
        <v>0</v>
      </c>
      <c r="U18" s="33">
        <v>0</v>
      </c>
      <c r="V18" s="33">
        <f t="shared" si="0"/>
        <v>0</v>
      </c>
      <c r="W18" s="33"/>
      <c r="X18" s="20"/>
      <c r="Y18" s="20"/>
      <c r="Z18" s="20"/>
      <c r="AA18" s="20"/>
      <c r="AB18" s="20"/>
      <c r="AC18" s="33"/>
      <c r="AD18" s="33"/>
      <c r="AE18" s="20">
        <v>3914.409</v>
      </c>
      <c r="AF18" s="20">
        <v>19971</v>
      </c>
      <c r="AG18" s="20">
        <v>0</v>
      </c>
      <c r="AH18" s="20">
        <v>392.057</v>
      </c>
      <c r="AI18" s="20">
        <v>100</v>
      </c>
      <c r="AJ18" s="20">
        <v>0</v>
      </c>
      <c r="AK18" s="20">
        <v>184.965</v>
      </c>
      <c r="AL18" s="20">
        <v>70.201</v>
      </c>
      <c r="AM18" s="20">
        <v>0</v>
      </c>
      <c r="AN18" s="20">
        <v>2768.183</v>
      </c>
      <c r="AO18" s="20">
        <v>0</v>
      </c>
      <c r="AP18" s="20">
        <v>0</v>
      </c>
      <c r="AQ18" s="20">
        <v>2250</v>
      </c>
      <c r="AR18" s="20"/>
      <c r="AS18" s="20"/>
      <c r="AT18" s="20">
        <v>1400</v>
      </c>
      <c r="AU18" s="33"/>
      <c r="AV18" s="20"/>
      <c r="AW18" s="20">
        <v>0</v>
      </c>
      <c r="AX18" s="20">
        <v>0</v>
      </c>
      <c r="AY18" s="20"/>
      <c r="AZ18" s="20">
        <f>SUM('[2]project'!AU18,'[2]project'!AZ18)</f>
        <v>14003.578000000001</v>
      </c>
      <c r="BA18" s="33"/>
      <c r="BB18" s="20">
        <v>2856.492</v>
      </c>
      <c r="BC18" s="20">
        <v>0</v>
      </c>
      <c r="BD18" s="20">
        <v>31759</v>
      </c>
      <c r="BE18" s="20"/>
      <c r="BF18" s="20">
        <v>387.317</v>
      </c>
      <c r="BG18" s="20">
        <v>78</v>
      </c>
      <c r="BH18" s="20">
        <v>78</v>
      </c>
      <c r="BI18" s="20">
        <v>0</v>
      </c>
      <c r="BJ18" s="20">
        <v>0</v>
      </c>
      <c r="BK18" s="20">
        <v>0</v>
      </c>
      <c r="BL18" s="20">
        <v>0</v>
      </c>
      <c r="BM18" s="20">
        <v>971.663</v>
      </c>
      <c r="BN18" s="20">
        <v>0</v>
      </c>
      <c r="BO18" s="20"/>
      <c r="BP18" s="20">
        <f>614+504</f>
        <v>1118</v>
      </c>
      <c r="BQ18" s="20"/>
      <c r="BR18" s="20">
        <v>0</v>
      </c>
      <c r="BS18" s="20"/>
      <c r="BT18" s="20"/>
      <c r="BU18" s="20"/>
      <c r="BV18" s="20">
        <v>0</v>
      </c>
      <c r="BW18" s="20">
        <f>2000+1704.9+1619</f>
        <v>5323.9</v>
      </c>
      <c r="BX18" s="20"/>
      <c r="BY18" s="20">
        <f>748+164+1710+(1200/8)</f>
        <v>2772</v>
      </c>
      <c r="BZ18" s="20">
        <v>400</v>
      </c>
      <c r="CA18" s="20">
        <v>0</v>
      </c>
      <c r="CB18" s="20"/>
      <c r="CC18" s="20">
        <v>2293.6400000000003</v>
      </c>
      <c r="CD18" s="20">
        <v>658.98</v>
      </c>
      <c r="CE18" s="20">
        <v>2930.7569999999996</v>
      </c>
      <c r="CF18" s="33"/>
      <c r="CG18" s="20">
        <v>0</v>
      </c>
      <c r="CH18" s="20"/>
      <c r="CI18" s="20">
        <v>1088.694</v>
      </c>
      <c r="CJ18" s="33"/>
      <c r="CK18" s="20"/>
      <c r="CL18" s="33"/>
      <c r="CM18" s="20">
        <v>36755.747</v>
      </c>
      <c r="CN18" s="33"/>
      <c r="CO18" s="20">
        <v>0</v>
      </c>
      <c r="CP18" s="33"/>
      <c r="CQ18" s="20">
        <v>1000</v>
      </c>
      <c r="CR18" s="20">
        <v>10800</v>
      </c>
      <c r="CS18" s="20">
        <v>0</v>
      </c>
      <c r="CT18" s="20">
        <v>28461.695</v>
      </c>
      <c r="CU18" s="33"/>
      <c r="CV18" s="20">
        <v>201062</v>
      </c>
      <c r="CW18" s="33"/>
      <c r="CX18" s="162">
        <f>37934+13793+12732+27832+17720+18985+16163</f>
        <v>145159</v>
      </c>
      <c r="CZ18" s="145">
        <v>0</v>
      </c>
      <c r="DA18" s="33"/>
      <c r="DB18" s="33">
        <v>100000</v>
      </c>
      <c r="DC18" s="33"/>
      <c r="DD18" s="33">
        <v>0</v>
      </c>
      <c r="DE18" s="33"/>
      <c r="DF18" s="283">
        <v>75952.358</v>
      </c>
      <c r="DG18" s="33"/>
      <c r="DH18" s="20">
        <v>477</v>
      </c>
    </row>
    <row r="19" spans="1:112" ht="12.75" hidden="1">
      <c r="A19" s="61" t="s">
        <v>22</v>
      </c>
      <c r="B19" s="117">
        <v>15740</v>
      </c>
      <c r="C19" s="117">
        <v>8636</v>
      </c>
      <c r="D19" s="20">
        <v>0</v>
      </c>
      <c r="E19" s="20">
        <v>0</v>
      </c>
      <c r="F19" s="33"/>
      <c r="G19" s="20">
        <v>1454</v>
      </c>
      <c r="H19" s="20"/>
      <c r="I19" s="33"/>
      <c r="J19" s="20">
        <v>0</v>
      </c>
      <c r="K19" s="20">
        <v>0</v>
      </c>
      <c r="L19" s="20">
        <v>0</v>
      </c>
      <c r="M19" s="33"/>
      <c r="N19" s="117">
        <v>0</v>
      </c>
      <c r="O19" s="116"/>
      <c r="P19" s="117">
        <v>1728.8</v>
      </c>
      <c r="Q19" s="117"/>
      <c r="R19" s="117">
        <v>0</v>
      </c>
      <c r="S19" s="33"/>
      <c r="T19" s="33">
        <v>0</v>
      </c>
      <c r="U19" s="33">
        <v>0</v>
      </c>
      <c r="V19" s="33">
        <f t="shared" si="0"/>
        <v>0</v>
      </c>
      <c r="W19" s="33"/>
      <c r="X19" s="20"/>
      <c r="Y19" s="20"/>
      <c r="Z19" s="20"/>
      <c r="AA19" s="20"/>
      <c r="AB19" s="20"/>
      <c r="AC19" s="33"/>
      <c r="AD19" s="33"/>
      <c r="AE19" s="20">
        <v>124.716</v>
      </c>
      <c r="AF19" s="20">
        <v>1074</v>
      </c>
      <c r="AG19" s="20">
        <v>0</v>
      </c>
      <c r="AH19" s="20">
        <v>17.262</v>
      </c>
      <c r="AI19" s="20">
        <v>0</v>
      </c>
      <c r="AJ19" s="20">
        <v>0</v>
      </c>
      <c r="AK19" s="20">
        <v>0</v>
      </c>
      <c r="AL19" s="20">
        <v>0</v>
      </c>
      <c r="AM19" s="20">
        <v>0</v>
      </c>
      <c r="AN19" s="20">
        <v>0</v>
      </c>
      <c r="AO19" s="20">
        <v>0</v>
      </c>
      <c r="AP19" s="20">
        <v>0</v>
      </c>
      <c r="AQ19" s="20">
        <v>250</v>
      </c>
      <c r="AR19" s="20"/>
      <c r="AS19" s="20"/>
      <c r="AT19" s="20">
        <v>750</v>
      </c>
      <c r="AU19" s="33"/>
      <c r="AV19" s="20"/>
      <c r="AW19" s="20">
        <v>0</v>
      </c>
      <c r="AX19" s="20">
        <v>0</v>
      </c>
      <c r="AY19" s="20"/>
      <c r="AZ19" s="20">
        <f>SUM('[2]project'!AU19,'[2]project'!AZ19)</f>
        <v>0</v>
      </c>
      <c r="BA19" s="33"/>
      <c r="BB19" s="20">
        <v>0</v>
      </c>
      <c r="BC19" s="20">
        <v>0</v>
      </c>
      <c r="BD19" s="20">
        <v>5197</v>
      </c>
      <c r="BE19" s="20"/>
      <c r="BF19" s="20">
        <v>499.134</v>
      </c>
      <c r="BG19" s="20">
        <v>78</v>
      </c>
      <c r="BH19" s="20">
        <v>78</v>
      </c>
      <c r="BI19" s="20">
        <v>0</v>
      </c>
      <c r="BJ19" s="20">
        <v>0</v>
      </c>
      <c r="BK19" s="20">
        <v>0</v>
      </c>
      <c r="BL19" s="20">
        <v>0</v>
      </c>
      <c r="BM19" s="20">
        <v>0</v>
      </c>
      <c r="BN19" s="20">
        <v>0</v>
      </c>
      <c r="BO19" s="20"/>
      <c r="BP19" s="20">
        <v>700</v>
      </c>
      <c r="BQ19" s="20"/>
      <c r="BR19" s="20">
        <v>0</v>
      </c>
      <c r="BS19" s="20"/>
      <c r="BT19" s="20"/>
      <c r="BU19" s="20"/>
      <c r="BV19" s="20">
        <v>0</v>
      </c>
      <c r="BW19" s="20">
        <v>0</v>
      </c>
      <c r="BX19" s="20"/>
      <c r="BY19" s="20">
        <v>0</v>
      </c>
      <c r="BZ19" s="20">
        <v>0</v>
      </c>
      <c r="CA19" s="20">
        <v>0</v>
      </c>
      <c r="CB19" s="20"/>
      <c r="CC19" s="20">
        <v>4113.686</v>
      </c>
      <c r="CD19" s="20">
        <v>0</v>
      </c>
      <c r="CE19" s="20">
        <v>1432.5</v>
      </c>
      <c r="CF19" s="33"/>
      <c r="CG19" s="20">
        <v>0</v>
      </c>
      <c r="CH19" s="20"/>
      <c r="CI19" s="20">
        <v>318.196</v>
      </c>
      <c r="CJ19" s="33"/>
      <c r="CK19" s="20"/>
      <c r="CL19" s="33"/>
      <c r="CM19" s="20">
        <v>5347.598</v>
      </c>
      <c r="CN19" s="33"/>
      <c r="CO19" s="20">
        <v>0</v>
      </c>
      <c r="CP19" s="33"/>
      <c r="CQ19" s="20">
        <v>0</v>
      </c>
      <c r="CR19" s="20">
        <v>0</v>
      </c>
      <c r="CS19" s="20">
        <v>0</v>
      </c>
      <c r="CT19" s="20">
        <v>15000</v>
      </c>
      <c r="CU19" s="33"/>
      <c r="CV19" s="20">
        <v>0</v>
      </c>
      <c r="CW19" s="33"/>
      <c r="CX19" s="162">
        <v>32058</v>
      </c>
      <c r="CZ19" s="145">
        <v>0</v>
      </c>
      <c r="DB19" s="145">
        <v>0</v>
      </c>
      <c r="DD19" s="145">
        <v>0</v>
      </c>
      <c r="DF19" s="145">
        <v>0</v>
      </c>
      <c r="DG19" s="33"/>
      <c r="DH19" s="20">
        <v>1150</v>
      </c>
    </row>
    <row r="20" spans="1:112" ht="12.75" hidden="1">
      <c r="A20" s="61" t="s">
        <v>23</v>
      </c>
      <c r="B20" s="117">
        <v>775</v>
      </c>
      <c r="C20" s="117">
        <v>1426</v>
      </c>
      <c r="D20" s="20">
        <v>14013</v>
      </c>
      <c r="E20" s="20">
        <v>0</v>
      </c>
      <c r="F20" s="33"/>
      <c r="G20" s="20">
        <v>4403.7</v>
      </c>
      <c r="H20" s="20"/>
      <c r="I20" s="33"/>
      <c r="J20" s="20">
        <v>0</v>
      </c>
      <c r="K20" s="20">
        <v>430</v>
      </c>
      <c r="L20" s="20">
        <v>0</v>
      </c>
      <c r="M20" s="33"/>
      <c r="N20" s="117">
        <v>1959</v>
      </c>
      <c r="O20" s="116"/>
      <c r="P20" s="117">
        <v>9635</v>
      </c>
      <c r="Q20" s="117"/>
      <c r="R20" s="117">
        <v>0</v>
      </c>
      <c r="S20" s="33"/>
      <c r="T20" s="33">
        <v>0</v>
      </c>
      <c r="U20" s="33">
        <v>0</v>
      </c>
      <c r="V20" s="33">
        <f t="shared" si="0"/>
        <v>0</v>
      </c>
      <c r="W20" s="33"/>
      <c r="X20" s="20"/>
      <c r="Y20" s="20"/>
      <c r="Z20" s="20"/>
      <c r="AA20" s="20"/>
      <c r="AB20" s="20"/>
      <c r="AC20" s="33"/>
      <c r="AD20" s="33"/>
      <c r="AE20" s="20">
        <v>534.611</v>
      </c>
      <c r="AF20" s="20">
        <v>2669</v>
      </c>
      <c r="AG20" s="20">
        <v>0</v>
      </c>
      <c r="AH20" s="20">
        <v>87.759</v>
      </c>
      <c r="AI20" s="20">
        <v>0</v>
      </c>
      <c r="AJ20" s="20">
        <v>37.72</v>
      </c>
      <c r="AK20" s="20">
        <v>59.353</v>
      </c>
      <c r="AL20" s="20">
        <v>0</v>
      </c>
      <c r="AM20" s="20">
        <v>0</v>
      </c>
      <c r="AN20" s="20">
        <v>0</v>
      </c>
      <c r="AO20" s="20">
        <v>0</v>
      </c>
      <c r="AP20" s="20">
        <v>0</v>
      </c>
      <c r="AQ20" s="20">
        <v>0</v>
      </c>
      <c r="AR20" s="20"/>
      <c r="AS20" s="20"/>
      <c r="AT20" s="20">
        <v>0</v>
      </c>
      <c r="AU20" s="33"/>
      <c r="AV20" s="20"/>
      <c r="AW20" s="20">
        <v>2000</v>
      </c>
      <c r="AX20" s="20">
        <v>0</v>
      </c>
      <c r="AY20" s="20"/>
      <c r="AZ20" s="20">
        <f>SUM('[2]project'!AU20,'[2]project'!AZ20)</f>
        <v>0</v>
      </c>
      <c r="BA20" s="33"/>
      <c r="BB20" s="20">
        <v>550.218</v>
      </c>
      <c r="BC20" s="20">
        <v>0</v>
      </c>
      <c r="BD20" s="20">
        <v>5163</v>
      </c>
      <c r="BE20" s="20"/>
      <c r="BF20" s="20">
        <v>941.346</v>
      </c>
      <c r="BG20" s="20">
        <v>0</v>
      </c>
      <c r="BH20" s="20">
        <v>0</v>
      </c>
      <c r="BI20" s="20">
        <v>156</v>
      </c>
      <c r="BJ20" s="20">
        <v>0</v>
      </c>
      <c r="BK20" s="20">
        <v>0</v>
      </c>
      <c r="BL20" s="20">
        <v>3507.421</v>
      </c>
      <c r="BM20" s="20">
        <v>982.337</v>
      </c>
      <c r="BN20" s="20">
        <v>0</v>
      </c>
      <c r="BO20" s="20"/>
      <c r="BP20" s="20">
        <v>0</v>
      </c>
      <c r="BQ20" s="20"/>
      <c r="BR20" s="20">
        <v>1521</v>
      </c>
      <c r="BS20" s="20"/>
      <c r="BT20" s="20"/>
      <c r="BU20" s="20"/>
      <c r="BV20" s="20">
        <v>0</v>
      </c>
      <c r="BW20" s="20">
        <v>2500</v>
      </c>
      <c r="BX20" s="20"/>
      <c r="BY20" s="20">
        <v>0</v>
      </c>
      <c r="BZ20" s="20">
        <v>650</v>
      </c>
      <c r="CA20" s="20">
        <v>400</v>
      </c>
      <c r="CB20" s="20"/>
      <c r="CC20" s="20">
        <v>2236.761</v>
      </c>
      <c r="CD20" s="20">
        <v>0</v>
      </c>
      <c r="CE20" s="20">
        <v>0</v>
      </c>
      <c r="CF20" s="33"/>
      <c r="CG20" s="20">
        <v>0</v>
      </c>
      <c r="CH20" s="20"/>
      <c r="CI20" s="20">
        <v>339.814</v>
      </c>
      <c r="CJ20" s="33"/>
      <c r="CK20" s="20"/>
      <c r="CL20" s="33"/>
      <c r="CM20" s="20">
        <v>49171.71</v>
      </c>
      <c r="CN20" s="33"/>
      <c r="CO20" s="20">
        <v>0</v>
      </c>
      <c r="CP20" s="33"/>
      <c r="CQ20" s="20">
        <v>0</v>
      </c>
      <c r="CR20" s="20">
        <v>0</v>
      </c>
      <c r="CS20" s="20">
        <v>0</v>
      </c>
      <c r="CT20" s="20">
        <v>11250</v>
      </c>
      <c r="CU20" s="33"/>
      <c r="CV20" s="20">
        <v>37665</v>
      </c>
      <c r="CW20" s="33"/>
      <c r="CX20" s="257">
        <v>0</v>
      </c>
      <c r="CZ20" s="145">
        <v>0</v>
      </c>
      <c r="DA20" s="33"/>
      <c r="DB20" s="33">
        <v>22000</v>
      </c>
      <c r="DC20" s="33"/>
      <c r="DD20" s="33">
        <v>0</v>
      </c>
      <c r="DE20" s="33"/>
      <c r="DF20" s="33">
        <v>25414.641</v>
      </c>
      <c r="DG20" s="33"/>
      <c r="DH20" s="20">
        <v>786</v>
      </c>
    </row>
    <row r="21" spans="1:112" ht="12.75" hidden="1">
      <c r="A21" s="61" t="s">
        <v>24</v>
      </c>
      <c r="B21" s="117">
        <v>103</v>
      </c>
      <c r="C21" s="117">
        <v>1004</v>
      </c>
      <c r="D21" s="20">
        <v>0</v>
      </c>
      <c r="E21" s="20">
        <v>0</v>
      </c>
      <c r="F21" s="33"/>
      <c r="G21" s="20">
        <v>2872</v>
      </c>
      <c r="H21" s="20"/>
      <c r="I21" s="33"/>
      <c r="J21" s="20">
        <v>0</v>
      </c>
      <c r="K21" s="20">
        <v>0</v>
      </c>
      <c r="L21" s="20">
        <v>5946.931</v>
      </c>
      <c r="M21" s="33"/>
      <c r="N21" s="117">
        <v>6394.059</v>
      </c>
      <c r="O21" s="116"/>
      <c r="P21" s="117">
        <v>10774</v>
      </c>
      <c r="Q21" s="117"/>
      <c r="R21" s="117">
        <v>3190</v>
      </c>
      <c r="S21" s="33"/>
      <c r="T21" s="33">
        <v>623.016</v>
      </c>
      <c r="U21" s="33">
        <v>0</v>
      </c>
      <c r="V21" s="33">
        <f t="shared" si="0"/>
        <v>623.016</v>
      </c>
      <c r="W21" s="33"/>
      <c r="X21" s="20"/>
      <c r="Y21" s="20"/>
      <c r="Z21" s="20"/>
      <c r="AA21" s="20"/>
      <c r="AB21" s="20"/>
      <c r="AC21" s="33"/>
      <c r="AD21" s="33"/>
      <c r="AE21" s="20">
        <v>4035.758</v>
      </c>
      <c r="AF21" s="20">
        <v>20107</v>
      </c>
      <c r="AG21" s="20">
        <v>0</v>
      </c>
      <c r="AH21" s="20">
        <v>165.311</v>
      </c>
      <c r="AI21" s="20">
        <v>450</v>
      </c>
      <c r="AJ21" s="20">
        <v>48.42</v>
      </c>
      <c r="AK21" s="20">
        <v>531.855</v>
      </c>
      <c r="AL21" s="20">
        <v>177.266</v>
      </c>
      <c r="AM21" s="20">
        <v>0</v>
      </c>
      <c r="AN21" s="20">
        <v>0</v>
      </c>
      <c r="AO21" s="20">
        <v>0</v>
      </c>
      <c r="AP21" s="20">
        <v>0</v>
      </c>
      <c r="AQ21" s="20">
        <v>1250</v>
      </c>
      <c r="AR21" s="20"/>
      <c r="AS21" s="20"/>
      <c r="AT21" s="20">
        <f>750+746.671</f>
        <v>1496.671</v>
      </c>
      <c r="AU21" s="33"/>
      <c r="AV21" s="20"/>
      <c r="AW21" s="20">
        <v>0</v>
      </c>
      <c r="AX21" s="20">
        <v>0</v>
      </c>
      <c r="AY21" s="20"/>
      <c r="AZ21" s="20">
        <f>SUM('[2]project'!AU21,'[2]project'!AZ21)</f>
        <v>83719.23900000002</v>
      </c>
      <c r="BA21" s="33"/>
      <c r="BB21" s="20">
        <v>4096.207</v>
      </c>
      <c r="BC21" s="20">
        <v>0</v>
      </c>
      <c r="BD21" s="20">
        <v>25868</v>
      </c>
      <c r="BE21" s="20"/>
      <c r="BF21" s="20">
        <v>760.544</v>
      </c>
      <c r="BG21" s="20">
        <v>78</v>
      </c>
      <c r="BH21" s="20">
        <v>78</v>
      </c>
      <c r="BI21" s="20">
        <v>0</v>
      </c>
      <c r="BJ21" s="20">
        <v>0</v>
      </c>
      <c r="BK21" s="20">
        <v>0</v>
      </c>
      <c r="BL21" s="20">
        <v>0</v>
      </c>
      <c r="BM21" s="20">
        <v>748.433</v>
      </c>
      <c r="BN21" s="20">
        <v>0</v>
      </c>
      <c r="BO21" s="20"/>
      <c r="BP21" s="20">
        <f>700+700+677</f>
        <v>2077</v>
      </c>
      <c r="BQ21" s="20"/>
      <c r="BR21" s="20">
        <v>0</v>
      </c>
      <c r="BS21" s="20"/>
      <c r="BT21" s="20"/>
      <c r="BU21" s="20"/>
      <c r="BV21" s="20">
        <v>0</v>
      </c>
      <c r="BW21" s="20">
        <f>616+800+2000+1500+716.853+4480.568</f>
        <v>10113.421</v>
      </c>
      <c r="BX21" s="20"/>
      <c r="BY21" s="20">
        <f>1000+4170</f>
        <v>5170</v>
      </c>
      <c r="BZ21" s="20">
        <v>550</v>
      </c>
      <c r="CA21" s="20">
        <v>0</v>
      </c>
      <c r="CB21" s="20"/>
      <c r="CC21" s="20">
        <v>10138.386999999999</v>
      </c>
      <c r="CD21" s="20">
        <v>13484.516</v>
      </c>
      <c r="CE21" s="20">
        <v>860.255</v>
      </c>
      <c r="CF21" s="33"/>
      <c r="CG21" s="20">
        <v>0</v>
      </c>
      <c r="CH21" s="20"/>
      <c r="CI21" s="20">
        <v>1383.754</v>
      </c>
      <c r="CJ21" s="33"/>
      <c r="CK21" s="20"/>
      <c r="CL21" s="33"/>
      <c r="CM21" s="20">
        <v>10994</v>
      </c>
      <c r="CN21" s="33"/>
      <c r="CO21" s="20">
        <v>3966.239</v>
      </c>
      <c r="CP21" s="33"/>
      <c r="CQ21" s="20">
        <v>0</v>
      </c>
      <c r="CR21" s="20">
        <v>6580</v>
      </c>
      <c r="CS21" s="20">
        <v>0</v>
      </c>
      <c r="CT21" s="20">
        <v>48477.781</v>
      </c>
      <c r="CU21" s="33"/>
      <c r="CV21" s="20">
        <v>244435</v>
      </c>
      <c r="CW21" s="33"/>
      <c r="CX21" s="162">
        <v>254250</v>
      </c>
      <c r="CZ21" s="145">
        <v>25517.02399</v>
      </c>
      <c r="DA21" s="33"/>
      <c r="DB21" s="33">
        <v>1750</v>
      </c>
      <c r="DC21" s="33"/>
      <c r="DD21" s="33">
        <v>1600</v>
      </c>
      <c r="DE21" s="33"/>
      <c r="DF21" s="33">
        <v>53395.657</v>
      </c>
      <c r="DG21" s="33"/>
      <c r="DH21" s="20">
        <v>1377</v>
      </c>
    </row>
    <row r="22" spans="1:112" ht="12.75" hidden="1">
      <c r="A22" s="10" t="s">
        <v>25</v>
      </c>
      <c r="B22" s="220">
        <v>501</v>
      </c>
      <c r="C22" s="220">
        <v>144</v>
      </c>
      <c r="D22" s="22">
        <v>0</v>
      </c>
      <c r="E22" s="22">
        <v>0</v>
      </c>
      <c r="F22" s="33"/>
      <c r="G22" s="22">
        <v>0</v>
      </c>
      <c r="H22" s="22"/>
      <c r="I22" s="33"/>
      <c r="J22" s="22">
        <v>0</v>
      </c>
      <c r="K22" s="22">
        <v>3300</v>
      </c>
      <c r="L22" s="22">
        <v>8150.472</v>
      </c>
      <c r="M22" s="33"/>
      <c r="N22" s="220">
        <v>17707.62</v>
      </c>
      <c r="O22" s="116"/>
      <c r="P22" s="220">
        <v>87598.8</v>
      </c>
      <c r="Q22" s="116"/>
      <c r="R22" s="220">
        <v>0</v>
      </c>
      <c r="S22" s="33"/>
      <c r="T22" s="22">
        <v>0</v>
      </c>
      <c r="U22" s="22">
        <v>0</v>
      </c>
      <c r="V22" s="22">
        <f t="shared" si="0"/>
        <v>0</v>
      </c>
      <c r="W22" s="33"/>
      <c r="X22" s="22"/>
      <c r="Y22" s="22"/>
      <c r="Z22" s="22"/>
      <c r="AA22" s="22"/>
      <c r="AB22" s="22"/>
      <c r="AC22" s="22"/>
      <c r="AD22" s="33"/>
      <c r="AE22" s="22">
        <v>2152.316</v>
      </c>
      <c r="AF22" s="22">
        <v>10791</v>
      </c>
      <c r="AG22" s="22">
        <v>62.5</v>
      </c>
      <c r="AH22" s="22">
        <v>84.35</v>
      </c>
      <c r="AI22" s="22">
        <v>105</v>
      </c>
      <c r="AJ22" s="22">
        <v>35.415</v>
      </c>
      <c r="AK22" s="22">
        <v>137.148</v>
      </c>
      <c r="AL22" s="22">
        <v>0</v>
      </c>
      <c r="AM22" s="22">
        <v>0</v>
      </c>
      <c r="AN22" s="22">
        <v>0</v>
      </c>
      <c r="AO22" s="22">
        <v>0</v>
      </c>
      <c r="AP22" s="22">
        <v>0</v>
      </c>
      <c r="AQ22" s="22">
        <v>0</v>
      </c>
      <c r="AR22" s="22"/>
      <c r="AS22" s="22"/>
      <c r="AT22" s="22">
        <v>0</v>
      </c>
      <c r="AU22" s="33"/>
      <c r="AV22" s="22"/>
      <c r="AW22" s="22">
        <v>0</v>
      </c>
      <c r="AX22" s="22">
        <v>0</v>
      </c>
      <c r="AY22" s="22"/>
      <c r="AZ22" s="22">
        <f>SUM('[2]project'!AU22,'[2]project'!AZ22)</f>
        <v>34175.5</v>
      </c>
      <c r="BA22" s="33"/>
      <c r="BB22" s="22">
        <v>970.782</v>
      </c>
      <c r="BC22" s="22">
        <v>0</v>
      </c>
      <c r="BD22" s="22">
        <v>26616</v>
      </c>
      <c r="BE22" s="22"/>
      <c r="BF22" s="22">
        <v>532.076</v>
      </c>
      <c r="BG22" s="22">
        <v>78</v>
      </c>
      <c r="BH22" s="22">
        <v>78</v>
      </c>
      <c r="BI22" s="22">
        <v>0</v>
      </c>
      <c r="BJ22" s="22">
        <v>0</v>
      </c>
      <c r="BK22" s="22">
        <v>0</v>
      </c>
      <c r="BL22" s="22">
        <v>0</v>
      </c>
      <c r="BM22" s="22">
        <v>1055.463</v>
      </c>
      <c r="BN22" s="22">
        <v>0</v>
      </c>
      <c r="BO22" s="22"/>
      <c r="BP22" s="22">
        <v>636</v>
      </c>
      <c r="BQ22" s="22"/>
      <c r="BR22" s="22">
        <v>0</v>
      </c>
      <c r="BS22" s="22"/>
      <c r="BT22" s="22"/>
      <c r="BU22" s="22"/>
      <c r="BV22" s="22">
        <v>1300</v>
      </c>
      <c r="BW22" s="22">
        <f>4300+2708.532+921.27+169.763</f>
        <v>8099.565</v>
      </c>
      <c r="BX22" s="22"/>
      <c r="BY22" s="22">
        <f>(3720/4)</f>
        <v>930</v>
      </c>
      <c r="BZ22" s="22">
        <v>0</v>
      </c>
      <c r="CA22" s="22">
        <v>2860</v>
      </c>
      <c r="CB22" s="22"/>
      <c r="CC22" s="22">
        <v>3036.8830000000003</v>
      </c>
      <c r="CD22" s="22">
        <v>0</v>
      </c>
      <c r="CE22" s="22">
        <v>943.096</v>
      </c>
      <c r="CF22" s="33"/>
      <c r="CG22" s="22">
        <v>0</v>
      </c>
      <c r="CH22" s="22"/>
      <c r="CI22" s="22">
        <v>785.088</v>
      </c>
      <c r="CJ22" s="33"/>
      <c r="CK22" s="22"/>
      <c r="CL22" s="33"/>
      <c r="CM22" s="22">
        <v>39346.818</v>
      </c>
      <c r="CN22" s="33"/>
      <c r="CO22" s="22">
        <v>6733.386</v>
      </c>
      <c r="CP22" s="33"/>
      <c r="CQ22" s="22">
        <v>0</v>
      </c>
      <c r="CR22" s="22">
        <v>2180</v>
      </c>
      <c r="CS22" s="22">
        <v>0</v>
      </c>
      <c r="CT22" s="22">
        <v>22598.946</v>
      </c>
      <c r="CU22" s="33"/>
      <c r="CV22" s="22">
        <v>177861</v>
      </c>
      <c r="CW22" s="33"/>
      <c r="CX22" s="142">
        <v>31181</v>
      </c>
      <c r="CZ22" s="145">
        <v>0</v>
      </c>
      <c r="DA22" s="33"/>
      <c r="DB22" s="22">
        <v>32000</v>
      </c>
      <c r="DC22" s="33"/>
      <c r="DD22" s="22">
        <v>34000</v>
      </c>
      <c r="DE22" s="33"/>
      <c r="DF22" s="22">
        <v>164011.126</v>
      </c>
      <c r="DG22" s="33"/>
      <c r="DH22" s="22">
        <v>0</v>
      </c>
    </row>
    <row r="23" spans="1:112" ht="12.75" hidden="1">
      <c r="A23" s="61" t="s">
        <v>26</v>
      </c>
      <c r="B23" s="117">
        <v>730</v>
      </c>
      <c r="C23" s="117">
        <v>2530</v>
      </c>
      <c r="D23" s="20">
        <v>0</v>
      </c>
      <c r="E23" s="20">
        <v>18833.333333333332</v>
      </c>
      <c r="F23" s="33"/>
      <c r="G23" s="20">
        <v>449</v>
      </c>
      <c r="H23" s="20"/>
      <c r="I23" s="33"/>
      <c r="J23" s="20">
        <v>0</v>
      </c>
      <c r="K23" s="20">
        <v>2231.75</v>
      </c>
      <c r="L23" s="20">
        <v>23882.536</v>
      </c>
      <c r="M23" s="33"/>
      <c r="N23" s="117">
        <v>4857.557999999999</v>
      </c>
      <c r="O23" s="116"/>
      <c r="P23" s="117">
        <v>4799</v>
      </c>
      <c r="Q23" s="117"/>
      <c r="R23" s="117">
        <v>4400</v>
      </c>
      <c r="S23" s="33"/>
      <c r="T23" s="33">
        <v>0</v>
      </c>
      <c r="U23" s="33">
        <v>0</v>
      </c>
      <c r="V23" s="33">
        <f t="shared" si="0"/>
        <v>0</v>
      </c>
      <c r="W23" s="33"/>
      <c r="X23" s="20"/>
      <c r="Y23" s="20"/>
      <c r="Z23" s="20"/>
      <c r="AA23" s="20"/>
      <c r="AB23" s="20"/>
      <c r="AC23" s="33"/>
      <c r="AD23" s="33"/>
      <c r="AE23" s="20">
        <v>794.438</v>
      </c>
      <c r="AF23" s="20">
        <v>4089</v>
      </c>
      <c r="AG23" s="20">
        <v>0</v>
      </c>
      <c r="AH23" s="20">
        <v>14.986</v>
      </c>
      <c r="AI23" s="20">
        <v>100</v>
      </c>
      <c r="AJ23" s="20">
        <v>35.67</v>
      </c>
      <c r="AK23" s="20">
        <v>134.265</v>
      </c>
      <c r="AL23" s="20">
        <v>0</v>
      </c>
      <c r="AM23" s="20">
        <v>0</v>
      </c>
      <c r="AN23" s="20">
        <v>0</v>
      </c>
      <c r="AO23" s="20">
        <v>0</v>
      </c>
      <c r="AP23" s="20">
        <v>0</v>
      </c>
      <c r="AQ23" s="20">
        <v>1417.933</v>
      </c>
      <c r="AR23" s="20"/>
      <c r="AS23" s="20"/>
      <c r="AT23" s="20">
        <v>1371.125</v>
      </c>
      <c r="AU23" s="33"/>
      <c r="AV23" s="20"/>
      <c r="AW23" s="20">
        <v>0</v>
      </c>
      <c r="AX23" s="20">
        <v>0</v>
      </c>
      <c r="AY23" s="20"/>
      <c r="AZ23" s="20">
        <f>SUM('[2]project'!AU23,'[2]project'!AZ23)</f>
        <v>178.3</v>
      </c>
      <c r="BA23" s="33"/>
      <c r="BB23" s="20">
        <v>0</v>
      </c>
      <c r="BC23" s="20">
        <f>450.214+499.829</f>
        <v>950.043</v>
      </c>
      <c r="BD23" s="20">
        <v>5086</v>
      </c>
      <c r="BE23" s="20"/>
      <c r="BF23" s="20">
        <v>393.926</v>
      </c>
      <c r="BG23" s="20">
        <v>78</v>
      </c>
      <c r="BH23" s="20">
        <v>78</v>
      </c>
      <c r="BI23" s="20">
        <v>0</v>
      </c>
      <c r="BJ23" s="20">
        <v>0</v>
      </c>
      <c r="BK23" s="20">
        <v>0</v>
      </c>
      <c r="BL23" s="20">
        <v>0</v>
      </c>
      <c r="BM23" s="20">
        <v>843.067</v>
      </c>
      <c r="BN23" s="20">
        <v>0</v>
      </c>
      <c r="BO23" s="20"/>
      <c r="BP23" s="20">
        <f>494+572</f>
        <v>1066</v>
      </c>
      <c r="BQ23" s="20"/>
      <c r="BR23" s="20">
        <f>664+470+336+522</f>
        <v>1992</v>
      </c>
      <c r="BS23" s="20"/>
      <c r="BT23" s="20"/>
      <c r="BU23" s="20"/>
      <c r="BV23" s="20">
        <v>0</v>
      </c>
      <c r="BW23" s="20">
        <v>983</v>
      </c>
      <c r="BX23" s="20"/>
      <c r="BY23" s="20">
        <v>0</v>
      </c>
      <c r="BZ23" s="20">
        <v>400</v>
      </c>
      <c r="CA23" s="20">
        <v>650</v>
      </c>
      <c r="CB23" s="20"/>
      <c r="CC23" s="20">
        <v>0</v>
      </c>
      <c r="CD23" s="20">
        <v>0</v>
      </c>
      <c r="CE23" s="20">
        <v>0</v>
      </c>
      <c r="CF23" s="33"/>
      <c r="CG23" s="20">
        <v>0</v>
      </c>
      <c r="CH23" s="20"/>
      <c r="CI23" s="20">
        <v>475.493</v>
      </c>
      <c r="CJ23" s="33"/>
      <c r="CK23" s="20"/>
      <c r="CL23" s="33"/>
      <c r="CM23" s="20">
        <v>5000</v>
      </c>
      <c r="CN23" s="33"/>
      <c r="CO23" s="20">
        <v>4373.488</v>
      </c>
      <c r="CP23" s="33"/>
      <c r="CQ23" s="20">
        <v>0</v>
      </c>
      <c r="CR23" s="20">
        <v>1600</v>
      </c>
      <c r="CS23" s="20">
        <v>0</v>
      </c>
      <c r="CT23" s="20">
        <v>10184.522</v>
      </c>
      <c r="CU23" s="33"/>
      <c r="CV23" s="20">
        <v>64252</v>
      </c>
      <c r="CW23" s="33"/>
      <c r="CX23" s="257">
        <v>0</v>
      </c>
      <c r="CZ23" s="285">
        <v>128535.64043</v>
      </c>
      <c r="DA23" s="33"/>
      <c r="DB23" s="145">
        <v>0</v>
      </c>
      <c r="DC23" s="33"/>
      <c r="DD23" s="33">
        <v>1495</v>
      </c>
      <c r="DE23" s="33"/>
      <c r="DF23" s="283">
        <v>72772.712</v>
      </c>
      <c r="DG23" s="33"/>
      <c r="DH23" s="20">
        <v>1161</v>
      </c>
    </row>
    <row r="24" spans="1:112" ht="12.75" hidden="1">
      <c r="A24" s="61" t="s">
        <v>27</v>
      </c>
      <c r="B24" s="117">
        <v>105</v>
      </c>
      <c r="C24" s="117">
        <v>1145.6</v>
      </c>
      <c r="D24" s="20">
        <v>0</v>
      </c>
      <c r="E24" s="20">
        <v>0</v>
      </c>
      <c r="F24" s="33"/>
      <c r="G24" s="20">
        <v>0</v>
      </c>
      <c r="H24" s="20"/>
      <c r="I24" s="33"/>
      <c r="J24" s="20">
        <v>1135</v>
      </c>
      <c r="K24" s="20">
        <v>1661</v>
      </c>
      <c r="L24" s="20">
        <v>2294.232</v>
      </c>
      <c r="M24" s="33"/>
      <c r="N24" s="117">
        <v>70</v>
      </c>
      <c r="O24" s="116"/>
      <c r="P24" s="117">
        <v>35521.5</v>
      </c>
      <c r="Q24" s="117"/>
      <c r="R24" s="117">
        <v>700</v>
      </c>
      <c r="S24" s="33"/>
      <c r="T24" s="33">
        <v>0</v>
      </c>
      <c r="U24" s="33">
        <v>0</v>
      </c>
      <c r="V24" s="33">
        <f t="shared" si="0"/>
        <v>0</v>
      </c>
      <c r="W24" s="33"/>
      <c r="X24" s="20"/>
      <c r="Y24" s="20"/>
      <c r="Z24" s="20"/>
      <c r="AA24" s="20"/>
      <c r="AB24" s="20"/>
      <c r="AC24" s="33"/>
      <c r="AD24" s="33"/>
      <c r="AE24" s="20">
        <v>913.253</v>
      </c>
      <c r="AF24" s="20">
        <v>4633</v>
      </c>
      <c r="AG24" s="20">
        <v>53.5</v>
      </c>
      <c r="AH24" s="20">
        <v>83.86</v>
      </c>
      <c r="AI24" s="20">
        <v>0</v>
      </c>
      <c r="AJ24" s="20">
        <v>37.795</v>
      </c>
      <c r="AK24" s="20">
        <v>14.084</v>
      </c>
      <c r="AL24" s="20">
        <v>0</v>
      </c>
      <c r="AM24" s="20">
        <v>0</v>
      </c>
      <c r="AN24" s="20">
        <v>0</v>
      </c>
      <c r="AO24" s="20">
        <v>0</v>
      </c>
      <c r="AP24" s="20">
        <v>0</v>
      </c>
      <c r="AQ24" s="20">
        <v>0</v>
      </c>
      <c r="AR24" s="20"/>
      <c r="AS24" s="20"/>
      <c r="AT24" s="20">
        <v>0</v>
      </c>
      <c r="AU24" s="33"/>
      <c r="AV24" s="20"/>
      <c r="AW24" s="20">
        <v>0</v>
      </c>
      <c r="AX24" s="20">
        <v>0</v>
      </c>
      <c r="AY24" s="20"/>
      <c r="AZ24" s="20">
        <f>SUM('[2]project'!AU24,'[2]project'!AZ24)</f>
        <v>10905.931</v>
      </c>
      <c r="BA24" s="33"/>
      <c r="BB24" s="20">
        <v>99.243</v>
      </c>
      <c r="BC24" s="20">
        <v>0</v>
      </c>
      <c r="BD24" s="20">
        <v>5173</v>
      </c>
      <c r="BE24" s="20"/>
      <c r="BF24" s="20">
        <v>480.296</v>
      </c>
      <c r="BG24" s="20">
        <v>0</v>
      </c>
      <c r="BH24" s="20"/>
      <c r="BI24" s="20">
        <v>156</v>
      </c>
      <c r="BJ24" s="20">
        <v>334.63</v>
      </c>
      <c r="BK24" s="20">
        <v>0</v>
      </c>
      <c r="BL24" s="20">
        <v>0</v>
      </c>
      <c r="BM24" s="20">
        <v>321.999</v>
      </c>
      <c r="BN24" s="20">
        <v>0</v>
      </c>
      <c r="BO24" s="20"/>
      <c r="BP24" s="20">
        <v>700</v>
      </c>
      <c r="BQ24" s="20"/>
      <c r="BR24" s="20">
        <v>0</v>
      </c>
      <c r="BS24" s="20"/>
      <c r="BT24" s="20"/>
      <c r="BU24" s="20"/>
      <c r="BV24" s="20">
        <v>0</v>
      </c>
      <c r="BW24" s="20">
        <v>1787.948</v>
      </c>
      <c r="BX24" s="20"/>
      <c r="BY24" s="20">
        <f>1000+4000</f>
        <v>5000</v>
      </c>
      <c r="BZ24" s="20">
        <v>400</v>
      </c>
      <c r="CA24" s="20">
        <v>0</v>
      </c>
      <c r="CB24" s="20"/>
      <c r="CC24" s="20">
        <v>2962.365</v>
      </c>
      <c r="CD24" s="20">
        <v>0</v>
      </c>
      <c r="CE24" s="20">
        <v>0</v>
      </c>
      <c r="CF24" s="33"/>
      <c r="CG24" s="20">
        <v>0</v>
      </c>
      <c r="CH24" s="20"/>
      <c r="CI24" s="20">
        <v>457.104</v>
      </c>
      <c r="CJ24" s="33"/>
      <c r="CK24" s="20"/>
      <c r="CL24" s="33"/>
      <c r="CM24" s="20">
        <v>19753.822</v>
      </c>
      <c r="CN24" s="33"/>
      <c r="CO24" s="20">
        <v>0</v>
      </c>
      <c r="CP24" s="33"/>
      <c r="CQ24" s="20">
        <v>0</v>
      </c>
      <c r="CR24" s="20">
        <v>0</v>
      </c>
      <c r="CS24" s="20">
        <v>0</v>
      </c>
      <c r="CT24" s="20">
        <v>7631.408</v>
      </c>
      <c r="CU24" s="33"/>
      <c r="CV24" s="20">
        <v>79589</v>
      </c>
      <c r="CW24" s="33"/>
      <c r="CX24" s="162">
        <v>0</v>
      </c>
      <c r="CZ24" s="145">
        <v>0</v>
      </c>
      <c r="DA24" s="33"/>
      <c r="DB24" s="145">
        <v>0</v>
      </c>
      <c r="DC24" s="33"/>
      <c r="DD24" s="33">
        <v>0</v>
      </c>
      <c r="DE24" s="33"/>
      <c r="DF24" s="33">
        <v>45311.378</v>
      </c>
      <c r="DG24" s="33"/>
      <c r="DH24" s="20">
        <v>396</v>
      </c>
    </row>
    <row r="25" spans="1:112" ht="12.75" hidden="1">
      <c r="A25" s="61" t="s">
        <v>28</v>
      </c>
      <c r="B25" s="117">
        <v>9962</v>
      </c>
      <c r="C25" s="117">
        <v>196</v>
      </c>
      <c r="D25" s="20">
        <v>0</v>
      </c>
      <c r="E25" s="20">
        <v>0</v>
      </c>
      <c r="F25" s="33"/>
      <c r="G25" s="20">
        <v>0</v>
      </c>
      <c r="H25" s="20"/>
      <c r="I25" s="33"/>
      <c r="J25" s="20">
        <v>0</v>
      </c>
      <c r="K25" s="20">
        <v>4817.88</v>
      </c>
      <c r="L25" s="20">
        <v>3585.541</v>
      </c>
      <c r="M25" s="33"/>
      <c r="N25" s="117">
        <v>1185.022</v>
      </c>
      <c r="O25" s="116"/>
      <c r="P25" s="117">
        <v>42662.3</v>
      </c>
      <c r="Q25" s="117"/>
      <c r="R25" s="117">
        <v>5000</v>
      </c>
      <c r="S25" s="33"/>
      <c r="T25" s="33">
        <v>0</v>
      </c>
      <c r="U25" s="33">
        <v>0</v>
      </c>
      <c r="V25" s="33">
        <f t="shared" si="0"/>
        <v>0</v>
      </c>
      <c r="W25" s="33"/>
      <c r="X25" s="20"/>
      <c r="Y25" s="20"/>
      <c r="Z25" s="20"/>
      <c r="AA25" s="20"/>
      <c r="AB25" s="20"/>
      <c r="AC25" s="33"/>
      <c r="AD25" s="33"/>
      <c r="AE25" s="20">
        <v>1762.937</v>
      </c>
      <c r="AF25" s="20">
        <v>8892</v>
      </c>
      <c r="AG25" s="20">
        <v>0</v>
      </c>
      <c r="AH25" s="20">
        <v>97.456</v>
      </c>
      <c r="AI25" s="20">
        <v>105</v>
      </c>
      <c r="AJ25" s="20">
        <v>42.64</v>
      </c>
      <c r="AK25" s="20">
        <v>189.006</v>
      </c>
      <c r="AL25" s="20">
        <v>10.578</v>
      </c>
      <c r="AM25" s="20">
        <v>0</v>
      </c>
      <c r="AN25" s="20">
        <v>0</v>
      </c>
      <c r="AO25" s="20">
        <v>0</v>
      </c>
      <c r="AP25" s="20">
        <v>0</v>
      </c>
      <c r="AQ25" s="20">
        <v>499.975</v>
      </c>
      <c r="AR25" s="20"/>
      <c r="AS25" s="20"/>
      <c r="AT25" s="20">
        <v>0</v>
      </c>
      <c r="AU25" s="33"/>
      <c r="AV25" s="20"/>
      <c r="AW25" s="20">
        <v>0</v>
      </c>
      <c r="AX25" s="20">
        <v>0</v>
      </c>
      <c r="AY25" s="20"/>
      <c r="AZ25" s="20">
        <f>SUM('[2]project'!AU25,'[2]project'!AZ25)</f>
        <v>6245.976000000001</v>
      </c>
      <c r="BA25" s="33"/>
      <c r="BB25" s="20">
        <v>441.6</v>
      </c>
      <c r="BC25" s="20">
        <v>0</v>
      </c>
      <c r="BD25" s="20">
        <v>5034</v>
      </c>
      <c r="BE25" s="20"/>
      <c r="BF25" s="20">
        <v>500</v>
      </c>
      <c r="BG25" s="20">
        <v>78</v>
      </c>
      <c r="BH25" s="20">
        <v>78</v>
      </c>
      <c r="BI25" s="20">
        <v>0</v>
      </c>
      <c r="BJ25" s="20">
        <v>0</v>
      </c>
      <c r="BK25" s="20">
        <v>0</v>
      </c>
      <c r="BL25" s="20">
        <v>0</v>
      </c>
      <c r="BM25" s="20">
        <v>3946.436</v>
      </c>
      <c r="BN25" s="20">
        <v>0</v>
      </c>
      <c r="BO25" s="20"/>
      <c r="BP25" s="20">
        <f>700+652</f>
        <v>1352</v>
      </c>
      <c r="BQ25" s="20"/>
      <c r="BR25" s="20">
        <v>6000</v>
      </c>
      <c r="BS25" s="20"/>
      <c r="BT25" s="20"/>
      <c r="BU25" s="20"/>
      <c r="BV25" s="20">
        <v>0</v>
      </c>
      <c r="BW25" s="20">
        <f>420+2783+1500+857.5</f>
        <v>5560.5</v>
      </c>
      <c r="BX25" s="20"/>
      <c r="BY25" s="20">
        <f>2000+(1200/8)</f>
        <v>2150</v>
      </c>
      <c r="BZ25" s="20">
        <v>200</v>
      </c>
      <c r="CA25" s="20">
        <v>0</v>
      </c>
      <c r="CB25" s="20"/>
      <c r="CC25" s="20">
        <v>4419.764999999999</v>
      </c>
      <c r="CD25" s="20">
        <v>0</v>
      </c>
      <c r="CE25" s="20">
        <v>306.36199999999997</v>
      </c>
      <c r="CF25" s="33"/>
      <c r="CG25" s="20">
        <v>0</v>
      </c>
      <c r="CH25" s="20"/>
      <c r="CI25" s="20">
        <v>591.715</v>
      </c>
      <c r="CJ25" s="33"/>
      <c r="CK25" s="20"/>
      <c r="CL25" s="33"/>
      <c r="CM25" s="20">
        <v>9538.234</v>
      </c>
      <c r="CN25" s="33"/>
      <c r="CO25" s="20">
        <v>0</v>
      </c>
      <c r="CP25" s="33"/>
      <c r="CQ25" s="20">
        <f>90+300+300</f>
        <v>690</v>
      </c>
      <c r="CR25" s="20">
        <v>0</v>
      </c>
      <c r="CS25" s="20">
        <v>0</v>
      </c>
      <c r="CT25" s="20">
        <v>14664</v>
      </c>
      <c r="CU25" s="33"/>
      <c r="CV25" s="20">
        <v>135132</v>
      </c>
      <c r="CW25" s="33"/>
      <c r="CX25" s="162">
        <v>27483</v>
      </c>
      <c r="CZ25" s="145">
        <v>0</v>
      </c>
      <c r="DA25" s="33"/>
      <c r="DB25" s="33">
        <v>67700</v>
      </c>
      <c r="DC25" s="33"/>
      <c r="DD25" s="33">
        <v>0</v>
      </c>
      <c r="DE25" s="33"/>
      <c r="DF25" s="33">
        <v>20603.594</v>
      </c>
      <c r="DG25" s="33"/>
      <c r="DH25" s="20">
        <v>397</v>
      </c>
    </row>
    <row r="26" spans="1:112" ht="12.75" hidden="1">
      <c r="A26" s="61" t="s">
        <v>29</v>
      </c>
      <c r="B26" s="117">
        <v>1081</v>
      </c>
      <c r="C26" s="117">
        <v>2670</v>
      </c>
      <c r="D26" s="20">
        <v>0</v>
      </c>
      <c r="E26" s="20">
        <v>0</v>
      </c>
      <c r="F26" s="33"/>
      <c r="G26" s="20">
        <v>0</v>
      </c>
      <c r="H26" s="20"/>
      <c r="I26" s="33"/>
      <c r="J26" s="20">
        <v>0</v>
      </c>
      <c r="K26" s="20">
        <v>4470</v>
      </c>
      <c r="L26" s="20">
        <v>1798.529</v>
      </c>
      <c r="M26" s="33"/>
      <c r="N26" s="117">
        <v>4133.746</v>
      </c>
      <c r="O26" s="116"/>
      <c r="P26" s="117">
        <v>15290.5</v>
      </c>
      <c r="Q26" s="117"/>
      <c r="R26" s="117">
        <v>2200</v>
      </c>
      <c r="S26" s="33"/>
      <c r="T26" s="33">
        <v>0</v>
      </c>
      <c r="U26" s="33">
        <v>0</v>
      </c>
      <c r="V26" s="33">
        <f t="shared" si="0"/>
        <v>0</v>
      </c>
      <c r="W26" s="33"/>
      <c r="X26" s="20"/>
      <c r="Y26" s="20"/>
      <c r="Z26" s="20"/>
      <c r="AA26" s="20"/>
      <c r="AB26" s="20"/>
      <c r="AC26" s="33"/>
      <c r="AD26" s="33"/>
      <c r="AE26" s="20">
        <v>2252.073</v>
      </c>
      <c r="AF26" s="20">
        <v>10619</v>
      </c>
      <c r="AG26" s="20">
        <v>0</v>
      </c>
      <c r="AH26" s="20">
        <v>200.808</v>
      </c>
      <c r="AI26" s="20">
        <v>0</v>
      </c>
      <c r="AJ26" s="20">
        <v>52.925</v>
      </c>
      <c r="AK26" s="20">
        <v>701.57</v>
      </c>
      <c r="AL26" s="20">
        <v>0</v>
      </c>
      <c r="AM26" s="20">
        <v>0</v>
      </c>
      <c r="AN26" s="20">
        <v>0</v>
      </c>
      <c r="AO26" s="20">
        <v>0</v>
      </c>
      <c r="AP26" s="20">
        <v>0</v>
      </c>
      <c r="AQ26" s="20">
        <v>250</v>
      </c>
      <c r="AR26" s="20"/>
      <c r="AS26" s="20"/>
      <c r="AT26" s="20">
        <v>0</v>
      </c>
      <c r="AU26" s="33"/>
      <c r="AV26" s="20"/>
      <c r="AW26" s="20">
        <v>0</v>
      </c>
      <c r="AX26" s="20">
        <v>0</v>
      </c>
      <c r="AY26" s="20"/>
      <c r="AZ26" s="20">
        <f>SUM('[2]project'!AU26,'[2]project'!AZ26)</f>
        <v>8414</v>
      </c>
      <c r="BA26" s="33"/>
      <c r="BB26" s="20">
        <v>1356.524</v>
      </c>
      <c r="BC26" s="20">
        <f>482.175+500</f>
        <v>982.175</v>
      </c>
      <c r="BD26" s="20">
        <v>12125</v>
      </c>
      <c r="BE26" s="20"/>
      <c r="BF26" s="20">
        <v>999.999</v>
      </c>
      <c r="BG26" s="20">
        <v>78</v>
      </c>
      <c r="BH26" s="20">
        <v>78</v>
      </c>
      <c r="BI26" s="20">
        <v>0</v>
      </c>
      <c r="BJ26" s="20">
        <v>0</v>
      </c>
      <c r="BK26" s="20">
        <v>0</v>
      </c>
      <c r="BL26" s="20">
        <v>0</v>
      </c>
      <c r="BM26" s="20">
        <v>1840.9660000000001</v>
      </c>
      <c r="BN26" s="20">
        <v>0</v>
      </c>
      <c r="BO26" s="20"/>
      <c r="BP26" s="20">
        <f>674+509</f>
        <v>1183</v>
      </c>
      <c r="BQ26" s="20"/>
      <c r="BR26" s="20">
        <v>0</v>
      </c>
      <c r="BS26" s="20"/>
      <c r="BT26" s="20"/>
      <c r="BU26" s="20"/>
      <c r="BV26" s="20">
        <v>0</v>
      </c>
      <c r="BW26" s="20">
        <f>1600+2000</f>
        <v>3600</v>
      </c>
      <c r="BX26" s="20"/>
      <c r="BY26" s="20">
        <f>2930</f>
        <v>2930</v>
      </c>
      <c r="BZ26" s="20">
        <v>200</v>
      </c>
      <c r="CA26" s="20">
        <v>0</v>
      </c>
      <c r="CB26" s="20"/>
      <c r="CC26" s="20">
        <v>2763.08</v>
      </c>
      <c r="CD26" s="20">
        <v>0</v>
      </c>
      <c r="CE26" s="20">
        <v>7592.142999999999</v>
      </c>
      <c r="CF26" s="33"/>
      <c r="CG26" s="20">
        <v>0</v>
      </c>
      <c r="CH26" s="20"/>
      <c r="CI26" s="20">
        <v>604.703</v>
      </c>
      <c r="CJ26" s="33"/>
      <c r="CK26" s="20"/>
      <c r="CL26" s="33"/>
      <c r="CM26" s="20">
        <v>45572.851</v>
      </c>
      <c r="CN26" s="33"/>
      <c r="CO26" s="20">
        <v>0</v>
      </c>
      <c r="CP26" s="33"/>
      <c r="CQ26" s="20">
        <f>350+1856.93+650+300</f>
        <v>3156.9300000000003</v>
      </c>
      <c r="CR26" s="20">
        <v>0</v>
      </c>
      <c r="CS26" s="20">
        <v>0</v>
      </c>
      <c r="CT26" s="20">
        <v>19683.5</v>
      </c>
      <c r="CU26" s="33"/>
      <c r="CV26" s="20">
        <v>131622</v>
      </c>
      <c r="CW26" s="33"/>
      <c r="CX26" s="162">
        <f>17359+21433+21646+39607</f>
        <v>100045</v>
      </c>
      <c r="CZ26" s="145">
        <v>0</v>
      </c>
      <c r="DA26" s="33"/>
      <c r="DB26" s="145">
        <v>0</v>
      </c>
      <c r="DC26" s="33"/>
      <c r="DD26" s="33">
        <v>0</v>
      </c>
      <c r="DE26" s="33"/>
      <c r="DF26" s="33">
        <v>114065.141</v>
      </c>
      <c r="DG26" s="33"/>
      <c r="DH26" s="20">
        <v>928</v>
      </c>
    </row>
    <row r="27" spans="1:112" ht="12.75">
      <c r="A27" s="10" t="s">
        <v>30</v>
      </c>
      <c r="B27" s="220">
        <v>8297</v>
      </c>
      <c r="C27" s="220">
        <v>2029</v>
      </c>
      <c r="D27" s="22">
        <v>0</v>
      </c>
      <c r="E27" s="22">
        <v>0</v>
      </c>
      <c r="F27" s="33"/>
      <c r="G27" s="22">
        <v>0</v>
      </c>
      <c r="H27" s="22"/>
      <c r="I27" s="33"/>
      <c r="J27" s="22">
        <v>0</v>
      </c>
      <c r="K27" s="22">
        <v>0</v>
      </c>
      <c r="L27" s="22">
        <v>469.666</v>
      </c>
      <c r="M27" s="33"/>
      <c r="N27" s="220">
        <v>5358.5</v>
      </c>
      <c r="O27" s="116"/>
      <c r="P27" s="220">
        <v>28227</v>
      </c>
      <c r="Q27" s="116"/>
      <c r="R27" s="220">
        <v>3202</v>
      </c>
      <c r="S27" s="33"/>
      <c r="T27" s="22">
        <v>0</v>
      </c>
      <c r="U27" s="22">
        <v>0</v>
      </c>
      <c r="V27" s="22">
        <f t="shared" si="0"/>
        <v>0</v>
      </c>
      <c r="W27" s="33"/>
      <c r="X27" s="22"/>
      <c r="Y27" s="22"/>
      <c r="Z27" s="22"/>
      <c r="AA27" s="22"/>
      <c r="AB27" s="22"/>
      <c r="AC27" s="22"/>
      <c r="AD27" s="33"/>
      <c r="AE27" s="22">
        <v>363.806</v>
      </c>
      <c r="AF27" s="22">
        <v>1849</v>
      </c>
      <c r="AG27" s="22">
        <v>13.5</v>
      </c>
      <c r="AH27" s="22">
        <v>17.068</v>
      </c>
      <c r="AI27" s="22">
        <v>0</v>
      </c>
      <c r="AJ27" s="22">
        <v>34.14</v>
      </c>
      <c r="AK27" s="22">
        <v>2.347</v>
      </c>
      <c r="AL27" s="22">
        <v>0</v>
      </c>
      <c r="AM27" s="22">
        <v>0</v>
      </c>
      <c r="AN27" s="22">
        <v>0</v>
      </c>
      <c r="AO27" s="22">
        <v>0</v>
      </c>
      <c r="AP27" s="22">
        <v>0</v>
      </c>
      <c r="AQ27" s="22">
        <v>250</v>
      </c>
      <c r="AR27" s="22"/>
      <c r="AS27" s="22"/>
      <c r="AT27" s="22">
        <v>0</v>
      </c>
      <c r="AU27" s="33"/>
      <c r="AV27" s="22"/>
      <c r="AW27" s="22">
        <v>2000</v>
      </c>
      <c r="AX27" s="22">
        <v>0</v>
      </c>
      <c r="AY27" s="22"/>
      <c r="AZ27" s="22">
        <f>SUM('[2]project'!AU27,'[2]project'!AZ27)</f>
        <v>310</v>
      </c>
      <c r="BA27" s="33"/>
      <c r="BB27" s="22">
        <v>0</v>
      </c>
      <c r="BC27" s="22">
        <v>0</v>
      </c>
      <c r="BD27" s="22">
        <v>5099</v>
      </c>
      <c r="BE27" s="22"/>
      <c r="BF27" s="22">
        <v>570.796</v>
      </c>
      <c r="BG27" s="22">
        <v>78</v>
      </c>
      <c r="BH27" s="22">
        <v>78</v>
      </c>
      <c r="BI27" s="22">
        <v>0</v>
      </c>
      <c r="BJ27" s="22">
        <v>0</v>
      </c>
      <c r="BK27" s="22">
        <v>0</v>
      </c>
      <c r="BL27" s="22">
        <v>0</v>
      </c>
      <c r="BM27" s="22">
        <v>1140.7939999999999</v>
      </c>
      <c r="BN27" s="22">
        <v>0</v>
      </c>
      <c r="BO27" s="22"/>
      <c r="BP27" s="22">
        <v>700</v>
      </c>
      <c r="BQ27" s="22"/>
      <c r="BR27" s="22">
        <f>628+373+553+2067+430</f>
        <v>4051</v>
      </c>
      <c r="BS27" s="22"/>
      <c r="BT27" s="22"/>
      <c r="BU27" s="22"/>
      <c r="BV27" s="22">
        <v>0</v>
      </c>
      <c r="BW27" s="22">
        <f>200+880</f>
        <v>1080</v>
      </c>
      <c r="BX27" s="22"/>
      <c r="BY27" s="22">
        <f>746.715+1210+(1650/3)+(1150/6)</f>
        <v>2698.3816666666667</v>
      </c>
      <c r="BZ27" s="22">
        <v>1800</v>
      </c>
      <c r="CA27" s="22">
        <v>560</v>
      </c>
      <c r="CB27" s="22"/>
      <c r="CC27" s="22">
        <v>0</v>
      </c>
      <c r="CD27" s="22">
        <v>0</v>
      </c>
      <c r="CE27" s="22">
        <v>1192.0339999999999</v>
      </c>
      <c r="CF27" s="33"/>
      <c r="CG27" s="22">
        <v>40441.471</v>
      </c>
      <c r="CH27" s="22"/>
      <c r="CI27" s="22">
        <v>320.789</v>
      </c>
      <c r="CJ27" s="33"/>
      <c r="CK27" s="22"/>
      <c r="CL27" s="33"/>
      <c r="CM27" s="22">
        <v>95900</v>
      </c>
      <c r="CN27" s="33"/>
      <c r="CO27" s="22">
        <v>0</v>
      </c>
      <c r="CP27" s="33"/>
      <c r="CQ27" s="22">
        <f>5500+1300</f>
        <v>6800</v>
      </c>
      <c r="CR27" s="22">
        <v>0</v>
      </c>
      <c r="CS27" s="22">
        <v>0</v>
      </c>
      <c r="CT27" s="22">
        <v>10500</v>
      </c>
      <c r="CU27" s="33"/>
      <c r="CV27" s="22">
        <v>42074</v>
      </c>
      <c r="CW27" s="33"/>
      <c r="CX27" s="142">
        <v>0</v>
      </c>
      <c r="CZ27" s="142">
        <v>0</v>
      </c>
      <c r="DA27" s="33"/>
      <c r="DB27" s="142">
        <v>0</v>
      </c>
      <c r="DC27" s="33"/>
      <c r="DD27" s="22">
        <v>0</v>
      </c>
      <c r="DE27" s="33"/>
      <c r="DF27" s="22">
        <v>14413.347</v>
      </c>
      <c r="DG27" s="33"/>
      <c r="DH27" s="22">
        <v>0</v>
      </c>
    </row>
    <row r="28" spans="1:112" ht="12.75" hidden="1">
      <c r="A28" s="61" t="s">
        <v>31</v>
      </c>
      <c r="B28" s="117">
        <v>6608</v>
      </c>
      <c r="C28" s="117">
        <v>6964</v>
      </c>
      <c r="D28" s="20">
        <v>0</v>
      </c>
      <c r="E28" s="20">
        <v>0</v>
      </c>
      <c r="F28" s="33"/>
      <c r="G28" s="20">
        <v>1974</v>
      </c>
      <c r="H28" s="20"/>
      <c r="I28" s="33"/>
      <c r="J28" s="20">
        <v>0</v>
      </c>
      <c r="K28" s="20">
        <v>0</v>
      </c>
      <c r="L28" s="20">
        <v>667.849</v>
      </c>
      <c r="M28" s="33"/>
      <c r="N28" s="117">
        <v>1097.231</v>
      </c>
      <c r="O28" s="116"/>
      <c r="P28" s="117">
        <v>32276.697</v>
      </c>
      <c r="Q28" s="117"/>
      <c r="R28" s="117">
        <v>0</v>
      </c>
      <c r="S28" s="33"/>
      <c r="T28" s="33">
        <v>0</v>
      </c>
      <c r="U28" s="33">
        <v>0</v>
      </c>
      <c r="V28" s="33">
        <f t="shared" si="0"/>
        <v>0</v>
      </c>
      <c r="W28" s="33"/>
      <c r="X28" s="20"/>
      <c r="Y28" s="20"/>
      <c r="Z28" s="20"/>
      <c r="AA28" s="20"/>
      <c r="AB28" s="20"/>
      <c r="AC28" s="33"/>
      <c r="AD28" s="33"/>
      <c r="AE28" s="20">
        <v>1008.789</v>
      </c>
      <c r="AF28" s="20">
        <v>4893</v>
      </c>
      <c r="AG28" s="20">
        <v>73</v>
      </c>
      <c r="AH28" s="20">
        <v>507.13</v>
      </c>
      <c r="AI28" s="20">
        <v>100</v>
      </c>
      <c r="AJ28" s="20">
        <v>38.305</v>
      </c>
      <c r="AK28" s="20">
        <v>192.246</v>
      </c>
      <c r="AL28" s="20">
        <v>172.458</v>
      </c>
      <c r="AM28" s="20">
        <v>0</v>
      </c>
      <c r="AN28" s="20">
        <v>0</v>
      </c>
      <c r="AO28" s="20">
        <v>0</v>
      </c>
      <c r="AP28" s="20">
        <v>0</v>
      </c>
      <c r="AQ28" s="20">
        <v>0</v>
      </c>
      <c r="AR28" s="20"/>
      <c r="AS28" s="20"/>
      <c r="AT28" s="20">
        <v>0</v>
      </c>
      <c r="AU28" s="33"/>
      <c r="AV28" s="20"/>
      <c r="AW28" s="20">
        <v>0</v>
      </c>
      <c r="AX28" s="20">
        <v>0</v>
      </c>
      <c r="AY28" s="20"/>
      <c r="AZ28" s="20">
        <f>SUM('[2]project'!AU28,'[2]project'!AZ28)</f>
        <v>52536.166</v>
      </c>
      <c r="BA28" s="33"/>
      <c r="BB28" s="20">
        <v>1000</v>
      </c>
      <c r="BC28" s="20">
        <v>0</v>
      </c>
      <c r="BD28" s="20">
        <v>23253</v>
      </c>
      <c r="BE28" s="20"/>
      <c r="BF28" s="20">
        <v>910.099</v>
      </c>
      <c r="BG28" s="20">
        <v>78</v>
      </c>
      <c r="BH28" s="20">
        <v>78</v>
      </c>
      <c r="BI28" s="20">
        <v>0</v>
      </c>
      <c r="BJ28" s="20">
        <v>0</v>
      </c>
      <c r="BK28" s="20">
        <v>0</v>
      </c>
      <c r="BL28" s="20">
        <v>0</v>
      </c>
      <c r="BM28" s="20">
        <v>0</v>
      </c>
      <c r="BN28" s="20">
        <v>0</v>
      </c>
      <c r="BO28" s="20"/>
      <c r="BP28" s="20">
        <v>0</v>
      </c>
      <c r="BQ28" s="20"/>
      <c r="BR28" s="20">
        <v>0</v>
      </c>
      <c r="BS28" s="20"/>
      <c r="BT28" s="20"/>
      <c r="BU28" s="20"/>
      <c r="BV28" s="20">
        <v>0</v>
      </c>
      <c r="BW28" s="20">
        <v>0</v>
      </c>
      <c r="BX28" s="20"/>
      <c r="BY28" s="20">
        <f>1000+3500+(4320/3)+(1300/2)</f>
        <v>6590</v>
      </c>
      <c r="BZ28" s="20">
        <v>0</v>
      </c>
      <c r="CA28" s="20">
        <v>0</v>
      </c>
      <c r="CB28" s="20"/>
      <c r="CC28" s="20">
        <v>1866.1</v>
      </c>
      <c r="CD28" s="20">
        <v>0</v>
      </c>
      <c r="CE28" s="20">
        <v>4133.786</v>
      </c>
      <c r="CF28" s="33"/>
      <c r="CG28" s="20">
        <v>0</v>
      </c>
      <c r="CH28" s="20"/>
      <c r="CI28" s="20">
        <v>716.898</v>
      </c>
      <c r="CJ28" s="33"/>
      <c r="CK28" s="20"/>
      <c r="CL28" s="33"/>
      <c r="CM28" s="20">
        <v>200000</v>
      </c>
      <c r="CN28" s="33"/>
      <c r="CO28" s="20">
        <v>0</v>
      </c>
      <c r="CP28" s="33"/>
      <c r="CQ28" s="20">
        <v>1590</v>
      </c>
      <c r="CR28" s="20">
        <v>522</v>
      </c>
      <c r="CS28" s="20">
        <v>0</v>
      </c>
      <c r="CT28" s="20">
        <v>15000</v>
      </c>
      <c r="CU28" s="33"/>
      <c r="CV28" s="20">
        <v>50354</v>
      </c>
      <c r="CW28" s="33"/>
      <c r="CX28" s="162">
        <f>58096+19424+25102</f>
        <v>102622</v>
      </c>
      <c r="CZ28" s="145">
        <v>0</v>
      </c>
      <c r="DA28" s="33"/>
      <c r="DB28" s="145">
        <v>0</v>
      </c>
      <c r="DC28" s="33"/>
      <c r="DD28" s="33">
        <v>0</v>
      </c>
      <c r="DE28" s="33"/>
      <c r="DF28" s="283">
        <v>79212.812</v>
      </c>
      <c r="DG28" s="33"/>
      <c r="DH28" s="20">
        <v>574</v>
      </c>
    </row>
    <row r="29" spans="1:112" ht="12.75" hidden="1">
      <c r="A29" s="61" t="s">
        <v>32</v>
      </c>
      <c r="B29" s="117">
        <v>11592</v>
      </c>
      <c r="C29" s="117">
        <v>3144</v>
      </c>
      <c r="D29" s="20">
        <v>0</v>
      </c>
      <c r="E29" s="20">
        <v>0</v>
      </c>
      <c r="F29" s="33"/>
      <c r="G29" s="20">
        <v>4487</v>
      </c>
      <c r="H29" s="20"/>
      <c r="I29" s="33"/>
      <c r="J29" s="20">
        <v>4364.4</v>
      </c>
      <c r="K29" s="20">
        <v>0</v>
      </c>
      <c r="L29" s="20">
        <v>0</v>
      </c>
      <c r="M29" s="33"/>
      <c r="N29" s="117">
        <v>1720.5700000000002</v>
      </c>
      <c r="O29" s="116"/>
      <c r="P29" s="117">
        <v>1480</v>
      </c>
      <c r="Q29" s="117"/>
      <c r="R29" s="117">
        <v>0</v>
      </c>
      <c r="S29" s="33"/>
      <c r="T29" s="33">
        <v>0</v>
      </c>
      <c r="U29" s="33">
        <v>0</v>
      </c>
      <c r="V29" s="33">
        <f t="shared" si="0"/>
        <v>0</v>
      </c>
      <c r="W29" s="33"/>
      <c r="X29" s="20"/>
      <c r="Y29" s="20"/>
      <c r="Z29" s="20"/>
      <c r="AA29" s="20"/>
      <c r="AB29" s="20"/>
      <c r="AC29" s="33"/>
      <c r="AD29" s="33"/>
      <c r="AE29" s="20">
        <v>1280.919</v>
      </c>
      <c r="AF29" s="20">
        <v>6398</v>
      </c>
      <c r="AG29" s="20">
        <v>0</v>
      </c>
      <c r="AH29" s="20">
        <v>91.273</v>
      </c>
      <c r="AI29" s="20">
        <v>100</v>
      </c>
      <c r="AJ29" s="20">
        <v>42.47</v>
      </c>
      <c r="AK29" s="20">
        <v>441.854</v>
      </c>
      <c r="AL29" s="20">
        <v>132.709</v>
      </c>
      <c r="AM29" s="20">
        <v>0</v>
      </c>
      <c r="AN29" s="20">
        <v>0</v>
      </c>
      <c r="AO29" s="20">
        <v>0</v>
      </c>
      <c r="AP29" s="20">
        <v>0</v>
      </c>
      <c r="AQ29" s="20">
        <v>1249.1399999999999</v>
      </c>
      <c r="AR29" s="20"/>
      <c r="AS29" s="20"/>
      <c r="AT29" s="20">
        <v>0</v>
      </c>
      <c r="AU29" s="33"/>
      <c r="AV29" s="20"/>
      <c r="AW29" s="20">
        <v>0</v>
      </c>
      <c r="AX29" s="20">
        <v>0</v>
      </c>
      <c r="AY29" s="20"/>
      <c r="AZ29" s="20">
        <f>SUM('[2]project'!AU29,'[2]project'!AZ29)</f>
        <v>72732.80900000001</v>
      </c>
      <c r="BA29" s="33"/>
      <c r="BB29" s="20">
        <v>1895.485</v>
      </c>
      <c r="BC29" s="20">
        <v>499.83</v>
      </c>
      <c r="BD29" s="20">
        <v>28985</v>
      </c>
      <c r="BE29" s="20"/>
      <c r="BF29" s="20">
        <v>1805.224</v>
      </c>
      <c r="BG29" s="20">
        <v>0</v>
      </c>
      <c r="BH29" s="20">
        <v>0</v>
      </c>
      <c r="BI29" s="20">
        <v>156</v>
      </c>
      <c r="BJ29" s="20">
        <v>0</v>
      </c>
      <c r="BK29" s="20">
        <v>0</v>
      </c>
      <c r="BL29" s="20">
        <v>0</v>
      </c>
      <c r="BM29" s="20">
        <v>0</v>
      </c>
      <c r="BN29" s="20">
        <v>0</v>
      </c>
      <c r="BO29" s="20"/>
      <c r="BP29" s="20">
        <f>700+700</f>
        <v>1400</v>
      </c>
      <c r="BQ29" s="20"/>
      <c r="BR29" s="20">
        <v>3320</v>
      </c>
      <c r="BS29" s="20"/>
      <c r="BT29" s="20"/>
      <c r="BU29" s="20"/>
      <c r="BV29" s="20">
        <v>0</v>
      </c>
      <c r="BW29" s="20">
        <v>0</v>
      </c>
      <c r="BX29" s="20"/>
      <c r="BY29" s="20">
        <f>1560+357.946+502.5+(1150/6)</f>
        <v>2612.1126666666664</v>
      </c>
      <c r="BZ29" s="20">
        <v>2695</v>
      </c>
      <c r="CA29" s="20">
        <v>1640</v>
      </c>
      <c r="CB29" s="20"/>
      <c r="CC29" s="20">
        <v>1515.02</v>
      </c>
      <c r="CD29" s="20">
        <v>0</v>
      </c>
      <c r="CE29" s="20">
        <v>7364.571999999999</v>
      </c>
      <c r="CF29" s="33"/>
      <c r="CG29" s="20">
        <v>0</v>
      </c>
      <c r="CH29" s="20"/>
      <c r="CI29" s="20">
        <v>796.207</v>
      </c>
      <c r="CJ29" s="33"/>
      <c r="CK29" s="20"/>
      <c r="CL29" s="33"/>
      <c r="CM29" s="20">
        <v>35778.357</v>
      </c>
      <c r="CN29" s="33"/>
      <c r="CO29" s="20">
        <v>33276.106</v>
      </c>
      <c r="CP29" s="33"/>
      <c r="CQ29" s="20">
        <v>0</v>
      </c>
      <c r="CR29" s="20">
        <v>4000</v>
      </c>
      <c r="CS29" s="20">
        <v>0</v>
      </c>
      <c r="CT29" s="20">
        <v>20701.547</v>
      </c>
      <c r="CU29" s="33"/>
      <c r="CV29" s="20">
        <v>144783</v>
      </c>
      <c r="CW29" s="33"/>
      <c r="CX29" s="162">
        <f>37567+17864</f>
        <v>55431</v>
      </c>
      <c r="CZ29" s="145">
        <v>40813.22467</v>
      </c>
      <c r="DA29" s="33"/>
      <c r="DB29" s="33">
        <v>27300</v>
      </c>
      <c r="DC29" s="33"/>
      <c r="DD29" s="33">
        <v>29382.563</v>
      </c>
      <c r="DE29" s="33"/>
      <c r="DF29" s="33">
        <v>106035.05</v>
      </c>
      <c r="DG29" s="33"/>
      <c r="DH29" s="20">
        <v>2081</v>
      </c>
    </row>
    <row r="30" spans="1:112" ht="12.75" hidden="1">
      <c r="A30" s="61" t="s">
        <v>33</v>
      </c>
      <c r="B30" s="117">
        <v>2407</v>
      </c>
      <c r="C30" s="117">
        <v>5444.895</v>
      </c>
      <c r="D30" s="20">
        <v>0</v>
      </c>
      <c r="E30" s="20">
        <v>0</v>
      </c>
      <c r="F30" s="33"/>
      <c r="G30" s="20">
        <v>3565</v>
      </c>
      <c r="H30" s="20"/>
      <c r="I30" s="33"/>
      <c r="J30" s="20">
        <v>0</v>
      </c>
      <c r="K30" s="20">
        <v>0</v>
      </c>
      <c r="L30" s="20">
        <v>523.074</v>
      </c>
      <c r="M30" s="33"/>
      <c r="N30" s="117">
        <v>11404</v>
      </c>
      <c r="O30" s="116"/>
      <c r="P30" s="117">
        <v>162144</v>
      </c>
      <c r="Q30" s="117"/>
      <c r="R30" s="117">
        <v>0</v>
      </c>
      <c r="S30" s="33"/>
      <c r="T30" s="33">
        <v>0</v>
      </c>
      <c r="U30" s="33">
        <v>0</v>
      </c>
      <c r="V30" s="33">
        <f t="shared" si="0"/>
        <v>0</v>
      </c>
      <c r="W30" s="33"/>
      <c r="X30" s="20"/>
      <c r="Y30" s="20"/>
      <c r="Z30" s="20"/>
      <c r="AA30" s="20"/>
      <c r="AB30" s="20"/>
      <c r="AC30" s="33"/>
      <c r="AD30" s="33"/>
      <c r="AE30" s="20">
        <v>1841.833</v>
      </c>
      <c r="AF30" s="20">
        <v>16426</v>
      </c>
      <c r="AG30" s="20">
        <v>53</v>
      </c>
      <c r="AH30" s="20">
        <v>141.218</v>
      </c>
      <c r="AI30" s="20">
        <v>0</v>
      </c>
      <c r="AJ30" s="20">
        <v>42.725</v>
      </c>
      <c r="AK30" s="20">
        <v>84.904</v>
      </c>
      <c r="AL30" s="20">
        <v>269.265</v>
      </c>
      <c r="AM30" s="20">
        <v>0</v>
      </c>
      <c r="AN30" s="20">
        <v>0</v>
      </c>
      <c r="AO30" s="20">
        <v>0</v>
      </c>
      <c r="AP30" s="20">
        <v>0</v>
      </c>
      <c r="AQ30" s="20">
        <v>2749.98</v>
      </c>
      <c r="AR30" s="20"/>
      <c r="AS30" s="20"/>
      <c r="AT30" s="20">
        <v>1863.409</v>
      </c>
      <c r="AU30" s="33"/>
      <c r="AV30" s="20"/>
      <c r="AW30" s="20">
        <f>1517+3000+1975</f>
        <v>6492</v>
      </c>
      <c r="AX30" s="20">
        <f>434+600</f>
        <v>1034</v>
      </c>
      <c r="AY30" s="20"/>
      <c r="AZ30" s="20">
        <f>SUM('[2]project'!AU30,'[2]project'!AZ30)</f>
        <v>6312.974999999999</v>
      </c>
      <c r="BA30" s="33"/>
      <c r="BB30" s="20">
        <v>4621.49</v>
      </c>
      <c r="BC30" s="20">
        <v>0</v>
      </c>
      <c r="BD30" s="20">
        <v>34588</v>
      </c>
      <c r="BE30" s="20"/>
      <c r="BF30" s="20">
        <v>2997.3</v>
      </c>
      <c r="BG30" s="20">
        <v>0</v>
      </c>
      <c r="BH30" s="20">
        <v>0</v>
      </c>
      <c r="BI30" s="20">
        <v>156</v>
      </c>
      <c r="BJ30" s="20">
        <v>0</v>
      </c>
      <c r="BK30" s="20">
        <v>246.172</v>
      </c>
      <c r="BL30" s="20">
        <v>0</v>
      </c>
      <c r="BM30" s="20">
        <v>1188.231</v>
      </c>
      <c r="BN30" s="20">
        <v>0</v>
      </c>
      <c r="BO30" s="20"/>
      <c r="BP30" s="20">
        <f>468+700</f>
        <v>1168</v>
      </c>
      <c r="BQ30" s="20"/>
      <c r="BR30" s="20">
        <v>38033.6</v>
      </c>
      <c r="BS30" s="20"/>
      <c r="BT30" s="20"/>
      <c r="BU30" s="20"/>
      <c r="BV30" s="20">
        <v>0</v>
      </c>
      <c r="BW30" s="20">
        <f>1890+169.763</f>
        <v>2059.763</v>
      </c>
      <c r="BX30" s="20"/>
      <c r="BY30" s="20">
        <f>1210+1070+1230</f>
        <v>3510</v>
      </c>
      <c r="BZ30" s="20">
        <v>2500</v>
      </c>
      <c r="CA30" s="20">
        <v>1699.904</v>
      </c>
      <c r="CB30" s="20"/>
      <c r="CC30" s="20">
        <v>7780.778</v>
      </c>
      <c r="CD30" s="20">
        <v>0</v>
      </c>
      <c r="CE30" s="20">
        <v>676.782</v>
      </c>
      <c r="CF30" s="33"/>
      <c r="CG30" s="20">
        <v>0</v>
      </c>
      <c r="CH30" s="20"/>
      <c r="CI30" s="20">
        <v>1117.842</v>
      </c>
      <c r="CJ30" s="33"/>
      <c r="CK30" s="20"/>
      <c r="CL30" s="33"/>
      <c r="CM30" s="20">
        <v>103158.878</v>
      </c>
      <c r="CN30" s="33"/>
      <c r="CO30" s="20">
        <v>5195.805</v>
      </c>
      <c r="CP30" s="33"/>
      <c r="CQ30" s="20">
        <f>7139.455+1175</f>
        <v>8314.455</v>
      </c>
      <c r="CR30" s="20">
        <v>4790</v>
      </c>
      <c r="CS30" s="20">
        <v>0</v>
      </c>
      <c r="CT30" s="20">
        <v>30400</v>
      </c>
      <c r="CU30" s="33"/>
      <c r="CV30" s="20">
        <v>296860</v>
      </c>
      <c r="CW30" s="33"/>
      <c r="CX30" s="162">
        <v>123272</v>
      </c>
      <c r="CZ30" s="145">
        <v>0</v>
      </c>
      <c r="DA30" s="33"/>
      <c r="DB30" s="33">
        <v>22500</v>
      </c>
      <c r="DC30" s="33"/>
      <c r="DD30" s="33">
        <v>0</v>
      </c>
      <c r="DE30" s="33"/>
      <c r="DF30" s="33">
        <v>78310.613</v>
      </c>
      <c r="DG30" s="33"/>
      <c r="DH30" s="20">
        <v>1471</v>
      </c>
    </row>
    <row r="31" spans="1:112" ht="12.75" hidden="1">
      <c r="A31" s="61" t="s">
        <v>34</v>
      </c>
      <c r="B31" s="117">
        <v>1038</v>
      </c>
      <c r="C31" s="117">
        <v>4704</v>
      </c>
      <c r="D31" s="20">
        <v>0</v>
      </c>
      <c r="E31" s="20">
        <v>18833.333333333332</v>
      </c>
      <c r="F31" s="33"/>
      <c r="G31" s="20">
        <v>0</v>
      </c>
      <c r="H31" s="20"/>
      <c r="I31" s="33"/>
      <c r="J31" s="20">
        <v>0</v>
      </c>
      <c r="K31" s="20">
        <v>544</v>
      </c>
      <c r="L31" s="20">
        <v>2421.541</v>
      </c>
      <c r="M31" s="33"/>
      <c r="N31" s="117">
        <v>16220.7</v>
      </c>
      <c r="O31" s="116"/>
      <c r="P31" s="117">
        <v>46477</v>
      </c>
      <c r="Q31" s="117"/>
      <c r="R31" s="117">
        <v>5000</v>
      </c>
      <c r="S31" s="33"/>
      <c r="T31" s="33">
        <v>0</v>
      </c>
      <c r="U31" s="33">
        <v>2935.346</v>
      </c>
      <c r="V31" s="33">
        <f t="shared" si="0"/>
        <v>2935.346</v>
      </c>
      <c r="W31" s="33"/>
      <c r="X31" s="20"/>
      <c r="Y31" s="20"/>
      <c r="Z31" s="20"/>
      <c r="AA31" s="20"/>
      <c r="AB31" s="20"/>
      <c r="AC31" s="33"/>
      <c r="AD31" s="33"/>
      <c r="AE31" s="20">
        <v>1178.146</v>
      </c>
      <c r="AF31" s="20">
        <v>5784</v>
      </c>
      <c r="AG31" s="20">
        <v>0</v>
      </c>
      <c r="AH31" s="20">
        <v>117.625</v>
      </c>
      <c r="AI31" s="20">
        <v>148</v>
      </c>
      <c r="AJ31" s="20">
        <v>35.925</v>
      </c>
      <c r="AK31" s="20">
        <v>30.112</v>
      </c>
      <c r="AL31" s="20">
        <v>88.793</v>
      </c>
      <c r="AM31" s="20">
        <v>0</v>
      </c>
      <c r="AN31" s="20">
        <v>0</v>
      </c>
      <c r="AO31" s="20">
        <v>0</v>
      </c>
      <c r="AP31" s="20">
        <v>0</v>
      </c>
      <c r="AQ31" s="20">
        <v>1879.903</v>
      </c>
      <c r="AR31" s="20"/>
      <c r="AS31" s="20"/>
      <c r="AT31" s="20">
        <v>832.768</v>
      </c>
      <c r="AU31" s="33"/>
      <c r="AV31" s="20"/>
      <c r="AW31" s="20">
        <v>3000</v>
      </c>
      <c r="AX31" s="20">
        <v>396</v>
      </c>
      <c r="AY31" s="20"/>
      <c r="AZ31" s="20">
        <f>SUM('[2]project'!AU31,'[2]project'!AZ31)</f>
        <v>50247.707</v>
      </c>
      <c r="BA31" s="33"/>
      <c r="BB31" s="20">
        <v>4531.424999999999</v>
      </c>
      <c r="BC31" s="20">
        <v>500</v>
      </c>
      <c r="BD31" s="20">
        <v>11589</v>
      </c>
      <c r="BE31" s="20"/>
      <c r="BF31" s="20">
        <v>500</v>
      </c>
      <c r="BG31" s="20">
        <v>78</v>
      </c>
      <c r="BH31" s="20">
        <v>78</v>
      </c>
      <c r="BI31" s="20">
        <v>0</v>
      </c>
      <c r="BJ31" s="20">
        <v>707.404</v>
      </c>
      <c r="BK31" s="20">
        <f>154+154</f>
        <v>308</v>
      </c>
      <c r="BL31" s="20">
        <v>0</v>
      </c>
      <c r="BM31" s="20">
        <v>1854.615</v>
      </c>
      <c r="BN31" s="20">
        <v>0</v>
      </c>
      <c r="BO31" s="20"/>
      <c r="BP31" s="20">
        <f>458+445</f>
        <v>903</v>
      </c>
      <c r="BQ31" s="20"/>
      <c r="BR31" s="20">
        <f>1320+4768</f>
        <v>6088</v>
      </c>
      <c r="BS31" s="20"/>
      <c r="BT31" s="20"/>
      <c r="BU31" s="20"/>
      <c r="BV31" s="20">
        <v>0</v>
      </c>
      <c r="BW31" s="20">
        <f>184+886+785.687+709.67</f>
        <v>2565.357</v>
      </c>
      <c r="BX31" s="20"/>
      <c r="BY31" s="20">
        <f>(3720/4)+(2420/2)</f>
        <v>2140</v>
      </c>
      <c r="BZ31" s="20">
        <v>1800</v>
      </c>
      <c r="CA31" s="20">
        <v>1800</v>
      </c>
      <c r="CB31" s="20"/>
      <c r="CC31" s="20">
        <v>0</v>
      </c>
      <c r="CD31" s="20">
        <v>1328.7</v>
      </c>
      <c r="CE31" s="20">
        <v>684.2090000000001</v>
      </c>
      <c r="CF31" s="33"/>
      <c r="CG31" s="20">
        <v>28019.52</v>
      </c>
      <c r="CH31" s="20"/>
      <c r="CI31" s="20">
        <v>678.986</v>
      </c>
      <c r="CJ31" s="33"/>
      <c r="CK31" s="20"/>
      <c r="CL31" s="33"/>
      <c r="CM31" s="20">
        <v>1544.004</v>
      </c>
      <c r="CN31" s="33"/>
      <c r="CO31" s="20">
        <v>2200</v>
      </c>
      <c r="CP31" s="33"/>
      <c r="CQ31" s="20">
        <v>0</v>
      </c>
      <c r="CR31" s="20">
        <v>1945</v>
      </c>
      <c r="CS31" s="20">
        <v>0</v>
      </c>
      <c r="CT31" s="20">
        <v>23155.7</v>
      </c>
      <c r="CU31" s="33"/>
      <c r="CV31" s="20">
        <v>75850</v>
      </c>
      <c r="CW31" s="33"/>
      <c r="CX31" s="162">
        <f>21739+16119</f>
        <v>37858</v>
      </c>
      <c r="CZ31" s="145">
        <v>0</v>
      </c>
      <c r="DB31" s="145">
        <v>0</v>
      </c>
      <c r="DD31" s="145">
        <v>4400</v>
      </c>
      <c r="DF31" s="145">
        <v>0</v>
      </c>
      <c r="DG31" s="33"/>
      <c r="DH31" s="20">
        <v>744</v>
      </c>
    </row>
    <row r="32" spans="1:112" ht="12.75" hidden="1">
      <c r="A32" s="10" t="s">
        <v>35</v>
      </c>
      <c r="B32" s="220">
        <v>6509</v>
      </c>
      <c r="C32" s="220">
        <v>2539.048</v>
      </c>
      <c r="D32" s="22">
        <v>495</v>
      </c>
      <c r="E32" s="22">
        <v>0</v>
      </c>
      <c r="F32" s="33"/>
      <c r="G32" s="22">
        <v>897</v>
      </c>
      <c r="H32" s="22"/>
      <c r="I32" s="33"/>
      <c r="J32" s="22">
        <v>0</v>
      </c>
      <c r="K32" s="22">
        <v>7630</v>
      </c>
      <c r="L32" s="22">
        <v>2596.164</v>
      </c>
      <c r="M32" s="33"/>
      <c r="N32" s="220">
        <v>6484.077</v>
      </c>
      <c r="O32" s="116"/>
      <c r="P32" s="220">
        <v>36445.962</v>
      </c>
      <c r="Q32" s="116"/>
      <c r="R32" s="220">
        <v>0</v>
      </c>
      <c r="S32" s="33"/>
      <c r="T32" s="22">
        <v>0</v>
      </c>
      <c r="U32" s="22">
        <v>0</v>
      </c>
      <c r="V32" s="22">
        <f t="shared" si="0"/>
        <v>0</v>
      </c>
      <c r="W32" s="33"/>
      <c r="X32" s="22"/>
      <c r="Y32" s="22"/>
      <c r="Z32" s="22"/>
      <c r="AA32" s="22"/>
      <c r="AB32" s="22"/>
      <c r="AC32" s="22"/>
      <c r="AD32" s="33"/>
      <c r="AE32" s="22">
        <v>968.205</v>
      </c>
      <c r="AF32" s="22">
        <v>8227</v>
      </c>
      <c r="AG32" s="22">
        <v>0</v>
      </c>
      <c r="AH32" s="22">
        <v>272.387</v>
      </c>
      <c r="AI32" s="22">
        <v>0</v>
      </c>
      <c r="AJ32" s="22">
        <v>44</v>
      </c>
      <c r="AK32" s="22">
        <v>301.37</v>
      </c>
      <c r="AL32" s="22">
        <v>0</v>
      </c>
      <c r="AM32" s="22">
        <v>0</v>
      </c>
      <c r="AN32" s="22">
        <v>0</v>
      </c>
      <c r="AO32" s="22">
        <v>0</v>
      </c>
      <c r="AP32" s="22">
        <v>0</v>
      </c>
      <c r="AQ32" s="22">
        <v>0</v>
      </c>
      <c r="AR32" s="22"/>
      <c r="AS32" s="22"/>
      <c r="AT32" s="22">
        <v>1369.546</v>
      </c>
      <c r="AU32" s="33"/>
      <c r="AV32" s="22"/>
      <c r="AW32" s="22">
        <v>0</v>
      </c>
      <c r="AX32" s="22">
        <v>0</v>
      </c>
      <c r="AY32" s="22"/>
      <c r="AZ32" s="22">
        <f>SUM('[2]project'!AU32,'[2]project'!AZ32)</f>
        <v>8526.576</v>
      </c>
      <c r="BA32" s="33"/>
      <c r="BB32" s="22">
        <v>0</v>
      </c>
      <c r="BC32" s="22">
        <v>0</v>
      </c>
      <c r="BD32" s="22">
        <v>5055</v>
      </c>
      <c r="BE32" s="22"/>
      <c r="BF32" s="22">
        <v>536.734</v>
      </c>
      <c r="BG32" s="22">
        <v>78</v>
      </c>
      <c r="BH32" s="22">
        <v>78</v>
      </c>
      <c r="BI32" s="22">
        <v>0</v>
      </c>
      <c r="BJ32" s="22">
        <v>889.999</v>
      </c>
      <c r="BK32" s="22">
        <v>0</v>
      </c>
      <c r="BL32" s="22">
        <v>0</v>
      </c>
      <c r="BM32" s="22">
        <v>959.488</v>
      </c>
      <c r="BN32" s="22">
        <v>0</v>
      </c>
      <c r="BO32" s="22"/>
      <c r="BP32" s="22">
        <v>546</v>
      </c>
      <c r="BQ32" s="22"/>
      <c r="BR32" s="22">
        <v>0</v>
      </c>
      <c r="BS32" s="22"/>
      <c r="BT32" s="22"/>
      <c r="BU32" s="22"/>
      <c r="BV32" s="22">
        <v>0</v>
      </c>
      <c r="BW32" s="22">
        <f>425+3700+2706.6+508.93</f>
        <v>7340.530000000001</v>
      </c>
      <c r="BX32" s="22"/>
      <c r="BY32" s="22">
        <f>1450+(1200/8)</f>
        <v>1600</v>
      </c>
      <c r="BZ32" s="22">
        <v>0</v>
      </c>
      <c r="CA32" s="22">
        <v>0</v>
      </c>
      <c r="CB32" s="22"/>
      <c r="CC32" s="22">
        <v>469.173</v>
      </c>
      <c r="CD32" s="22">
        <v>0</v>
      </c>
      <c r="CE32" s="22">
        <v>73.44</v>
      </c>
      <c r="CF32" s="33"/>
      <c r="CG32" s="22">
        <v>0</v>
      </c>
      <c r="CH32" s="22"/>
      <c r="CI32" s="22">
        <v>469.626</v>
      </c>
      <c r="CJ32" s="33"/>
      <c r="CK32" s="22"/>
      <c r="CL32" s="33"/>
      <c r="CM32" s="22">
        <v>30563.967</v>
      </c>
      <c r="CN32" s="33"/>
      <c r="CO32" s="22">
        <v>0</v>
      </c>
      <c r="CP32" s="33"/>
      <c r="CQ32" s="22">
        <v>0</v>
      </c>
      <c r="CR32" s="22">
        <v>0</v>
      </c>
      <c r="CS32" s="22">
        <v>0</v>
      </c>
      <c r="CT32" s="22">
        <v>13044.158</v>
      </c>
      <c r="CU32" s="33"/>
      <c r="CV32" s="22">
        <v>132443</v>
      </c>
      <c r="CW32" s="33"/>
      <c r="CX32" s="142">
        <v>15255</v>
      </c>
      <c r="CZ32" s="142">
        <v>0</v>
      </c>
      <c r="DB32" s="142">
        <v>0</v>
      </c>
      <c r="DD32" s="142">
        <v>0</v>
      </c>
      <c r="DF32" s="142">
        <v>0</v>
      </c>
      <c r="DG32" s="33"/>
      <c r="DH32" s="22">
        <v>446</v>
      </c>
    </row>
    <row r="33" spans="1:112" ht="12.75" hidden="1">
      <c r="A33" s="61" t="s">
        <v>36</v>
      </c>
      <c r="B33" s="117">
        <v>8510</v>
      </c>
      <c r="C33" s="117">
        <v>3688.105</v>
      </c>
      <c r="D33" s="20">
        <v>0</v>
      </c>
      <c r="E33" s="20">
        <v>0</v>
      </c>
      <c r="F33" s="33"/>
      <c r="G33" s="20">
        <v>0</v>
      </c>
      <c r="H33" s="20"/>
      <c r="I33" s="33"/>
      <c r="J33" s="20">
        <v>400</v>
      </c>
      <c r="K33" s="20">
        <v>4900</v>
      </c>
      <c r="L33" s="20">
        <v>4817.132</v>
      </c>
      <c r="M33" s="33"/>
      <c r="N33" s="117">
        <v>4239.144</v>
      </c>
      <c r="O33" s="116"/>
      <c r="P33" s="117">
        <v>54547.904</v>
      </c>
      <c r="Q33" s="117"/>
      <c r="R33" s="117">
        <v>0</v>
      </c>
      <c r="S33" s="33"/>
      <c r="T33" s="33">
        <v>300</v>
      </c>
      <c r="U33" s="33">
        <v>0</v>
      </c>
      <c r="V33" s="33">
        <f t="shared" si="0"/>
        <v>300</v>
      </c>
      <c r="W33" s="33"/>
      <c r="X33" s="20"/>
      <c r="Y33" s="20"/>
      <c r="Z33" s="20"/>
      <c r="AA33" s="20"/>
      <c r="AB33" s="20"/>
      <c r="AC33" s="33"/>
      <c r="AD33" s="33"/>
      <c r="AE33" s="20">
        <v>2038.928</v>
      </c>
      <c r="AF33" s="20">
        <v>10100</v>
      </c>
      <c r="AG33" s="20">
        <v>0</v>
      </c>
      <c r="AH33" s="20">
        <v>157.334</v>
      </c>
      <c r="AI33" s="20">
        <v>300</v>
      </c>
      <c r="AJ33" s="20">
        <v>51.31</v>
      </c>
      <c r="AK33" s="20">
        <v>66.692</v>
      </c>
      <c r="AL33" s="20">
        <v>0</v>
      </c>
      <c r="AM33" s="20">
        <v>0</v>
      </c>
      <c r="AN33" s="20">
        <v>0</v>
      </c>
      <c r="AO33" s="20">
        <v>0</v>
      </c>
      <c r="AP33" s="20">
        <v>0</v>
      </c>
      <c r="AQ33" s="20">
        <v>2000</v>
      </c>
      <c r="AR33" s="20"/>
      <c r="AS33" s="20"/>
      <c r="AT33" s="20">
        <v>0</v>
      </c>
      <c r="AU33" s="33"/>
      <c r="AV33" s="20"/>
      <c r="AW33" s="20">
        <v>0</v>
      </c>
      <c r="AX33" s="20">
        <v>0</v>
      </c>
      <c r="AY33" s="20"/>
      <c r="AZ33" s="20">
        <f>SUM('[2]project'!AU33,'[2]project'!AZ33)</f>
        <v>16909.817</v>
      </c>
      <c r="BA33" s="33"/>
      <c r="BB33" s="20">
        <v>709.97</v>
      </c>
      <c r="BC33" s="20">
        <v>0</v>
      </c>
      <c r="BD33" s="20">
        <v>19698</v>
      </c>
      <c r="BE33" s="20"/>
      <c r="BF33" s="20">
        <v>490.245</v>
      </c>
      <c r="BG33" s="20">
        <v>0</v>
      </c>
      <c r="BH33" s="20">
        <v>0</v>
      </c>
      <c r="BI33" s="20">
        <v>156</v>
      </c>
      <c r="BJ33" s="20">
        <v>0</v>
      </c>
      <c r="BK33" s="20">
        <v>0</v>
      </c>
      <c r="BL33" s="20">
        <v>0</v>
      </c>
      <c r="BM33" s="20">
        <v>2712.301</v>
      </c>
      <c r="BN33" s="20">
        <v>0</v>
      </c>
      <c r="BO33" s="20"/>
      <c r="BP33" s="20">
        <v>700</v>
      </c>
      <c r="BQ33" s="20"/>
      <c r="BR33" s="20">
        <v>2410</v>
      </c>
      <c r="BS33" s="20"/>
      <c r="BT33" s="20"/>
      <c r="BU33" s="20"/>
      <c r="BV33" s="20">
        <v>0</v>
      </c>
      <c r="BW33" s="20">
        <v>2750</v>
      </c>
      <c r="BX33" s="20"/>
      <c r="BY33" s="20">
        <f>2000+975.609</f>
        <v>2975.609</v>
      </c>
      <c r="BZ33" s="20">
        <v>800</v>
      </c>
      <c r="CA33" s="20">
        <v>2030</v>
      </c>
      <c r="CB33" s="20"/>
      <c r="CC33" s="20">
        <v>7114.234</v>
      </c>
      <c r="CD33" s="20">
        <v>0</v>
      </c>
      <c r="CE33" s="20">
        <v>1930.3880000000001</v>
      </c>
      <c r="CF33" s="33"/>
      <c r="CG33" s="20">
        <v>0</v>
      </c>
      <c r="CH33" s="20"/>
      <c r="CI33" s="20">
        <v>742.406</v>
      </c>
      <c r="CJ33" s="33"/>
      <c r="CK33" s="20"/>
      <c r="CL33" s="33"/>
      <c r="CM33" s="20">
        <v>1527.641</v>
      </c>
      <c r="CN33" s="33"/>
      <c r="CO33" s="20">
        <v>7200</v>
      </c>
      <c r="CP33" s="33"/>
      <c r="CQ33" s="20">
        <f>957.5+188</f>
        <v>1145.5</v>
      </c>
      <c r="CR33" s="20">
        <v>0</v>
      </c>
      <c r="CS33" s="20">
        <v>0</v>
      </c>
      <c r="CT33" s="20">
        <v>34258</v>
      </c>
      <c r="CU33" s="33"/>
      <c r="CV33" s="20">
        <v>141441</v>
      </c>
      <c r="CW33" s="33"/>
      <c r="CX33" s="162">
        <f>17880+28163</f>
        <v>46043</v>
      </c>
      <c r="CZ33" s="145">
        <v>0</v>
      </c>
      <c r="DA33" s="33"/>
      <c r="DB33" s="145">
        <v>0</v>
      </c>
      <c r="DC33" s="33"/>
      <c r="DD33" s="33">
        <v>2000</v>
      </c>
      <c r="DE33" s="33"/>
      <c r="DF33" s="283">
        <v>17000</v>
      </c>
      <c r="DG33" s="33"/>
      <c r="DH33" s="20">
        <v>535</v>
      </c>
    </row>
    <row r="34" spans="1:112" ht="12.75" hidden="1">
      <c r="A34" s="61" t="s">
        <v>37</v>
      </c>
      <c r="B34" s="117">
        <v>4536</v>
      </c>
      <c r="C34" s="117">
        <v>1733.67058</v>
      </c>
      <c r="D34" s="20">
        <v>17572</v>
      </c>
      <c r="E34" s="20">
        <v>60000</v>
      </c>
      <c r="F34" s="33"/>
      <c r="G34" s="20">
        <v>3923</v>
      </c>
      <c r="H34" s="20"/>
      <c r="I34" s="33"/>
      <c r="J34" s="20">
        <v>0</v>
      </c>
      <c r="K34" s="20">
        <v>808</v>
      </c>
      <c r="L34" s="20">
        <v>0</v>
      </c>
      <c r="M34" s="33"/>
      <c r="N34" s="117">
        <v>5573.025</v>
      </c>
      <c r="O34" s="116"/>
      <c r="P34" s="117">
        <v>12171.5</v>
      </c>
      <c r="Q34" s="117"/>
      <c r="R34" s="117">
        <v>0</v>
      </c>
      <c r="S34" s="33"/>
      <c r="T34" s="33">
        <v>294.999</v>
      </c>
      <c r="U34" s="33">
        <v>0</v>
      </c>
      <c r="V34" s="33">
        <f t="shared" si="0"/>
        <v>294.999</v>
      </c>
      <c r="W34" s="33"/>
      <c r="X34" s="20"/>
      <c r="Y34" s="20"/>
      <c r="Z34" s="20"/>
      <c r="AA34" s="20"/>
      <c r="AB34" s="20"/>
      <c r="AC34" s="33"/>
      <c r="AD34" s="33"/>
      <c r="AE34" s="20">
        <v>155.878</v>
      </c>
      <c r="AF34" s="20">
        <v>1472</v>
      </c>
      <c r="AG34" s="20">
        <v>0</v>
      </c>
      <c r="AH34" s="20">
        <v>5.318</v>
      </c>
      <c r="AI34" s="20">
        <v>0</v>
      </c>
      <c r="AJ34" s="20">
        <v>40.345</v>
      </c>
      <c r="AK34" s="20">
        <v>181.135</v>
      </c>
      <c r="AL34" s="20">
        <v>0</v>
      </c>
      <c r="AM34" s="20">
        <v>0</v>
      </c>
      <c r="AN34" s="20">
        <v>0</v>
      </c>
      <c r="AO34" s="20">
        <v>0</v>
      </c>
      <c r="AP34" s="20">
        <v>0</v>
      </c>
      <c r="AQ34" s="20">
        <v>250</v>
      </c>
      <c r="AR34" s="20"/>
      <c r="AS34" s="20"/>
      <c r="AT34" s="20">
        <v>0</v>
      </c>
      <c r="AU34" s="33"/>
      <c r="AV34" s="20"/>
      <c r="AW34" s="20">
        <v>6000</v>
      </c>
      <c r="AX34" s="20">
        <v>600</v>
      </c>
      <c r="AY34" s="20"/>
      <c r="AZ34" s="20">
        <f>SUM('[2]project'!AU34,'[2]project'!AZ34)</f>
        <v>0</v>
      </c>
      <c r="BA34" s="33"/>
      <c r="BB34" s="20">
        <v>0</v>
      </c>
      <c r="BC34" s="20">
        <v>0</v>
      </c>
      <c r="BD34" s="20">
        <v>5124</v>
      </c>
      <c r="BE34" s="20"/>
      <c r="BF34" s="20">
        <v>963.462</v>
      </c>
      <c r="BG34" s="20">
        <v>0</v>
      </c>
      <c r="BH34" s="20">
        <v>0</v>
      </c>
      <c r="BI34" s="20">
        <v>156</v>
      </c>
      <c r="BJ34" s="20">
        <v>802.642</v>
      </c>
      <c r="BK34" s="20">
        <v>0</v>
      </c>
      <c r="BL34" s="20">
        <v>26392.592</v>
      </c>
      <c r="BM34" s="20">
        <v>3084.034</v>
      </c>
      <c r="BN34" s="20">
        <v>0</v>
      </c>
      <c r="BO34" s="20"/>
      <c r="BP34" s="20">
        <v>698</v>
      </c>
      <c r="BQ34" s="20"/>
      <c r="BR34" s="20">
        <v>0</v>
      </c>
      <c r="BS34" s="20"/>
      <c r="BT34" s="20"/>
      <c r="BU34" s="20"/>
      <c r="BV34" s="20">
        <v>0</v>
      </c>
      <c r="BW34" s="20">
        <v>2700</v>
      </c>
      <c r="BX34" s="20"/>
      <c r="BY34" s="20">
        <f>700+(850/6)</f>
        <v>841.6666666666666</v>
      </c>
      <c r="BZ34" s="20">
        <v>400</v>
      </c>
      <c r="CA34" s="20">
        <v>900</v>
      </c>
      <c r="CB34" s="20"/>
      <c r="CC34" s="20">
        <v>0</v>
      </c>
      <c r="CD34" s="20">
        <v>0</v>
      </c>
      <c r="CE34" s="20">
        <v>0</v>
      </c>
      <c r="CF34" s="33"/>
      <c r="CG34" s="20">
        <v>0</v>
      </c>
      <c r="CH34" s="20"/>
      <c r="CI34" s="20">
        <v>288.765</v>
      </c>
      <c r="CJ34" s="33"/>
      <c r="CK34" s="20"/>
      <c r="CL34" s="33"/>
      <c r="CM34" s="20">
        <v>0</v>
      </c>
      <c r="CN34" s="33"/>
      <c r="CO34" s="20">
        <v>0</v>
      </c>
      <c r="CP34" s="33"/>
      <c r="CQ34" s="20">
        <v>0</v>
      </c>
      <c r="CR34" s="20">
        <v>0</v>
      </c>
      <c r="CS34" s="20">
        <v>0</v>
      </c>
      <c r="CT34" s="20">
        <v>8708.933</v>
      </c>
      <c r="CU34" s="33"/>
      <c r="CV34" s="20">
        <v>31623</v>
      </c>
      <c r="CW34" s="33"/>
      <c r="CX34" s="162">
        <v>0</v>
      </c>
      <c r="CZ34" s="145">
        <v>0</v>
      </c>
      <c r="DA34" s="33"/>
      <c r="DB34" s="145">
        <v>0</v>
      </c>
      <c r="DC34" s="33"/>
      <c r="DD34" s="33">
        <v>0</v>
      </c>
      <c r="DE34" s="33"/>
      <c r="DF34" s="33">
        <v>17825.674</v>
      </c>
      <c r="DG34" s="33"/>
      <c r="DH34" s="20">
        <v>698</v>
      </c>
    </row>
    <row r="35" spans="1:112" ht="12.75" hidden="1">
      <c r="A35" s="61" t="s">
        <v>38</v>
      </c>
      <c r="B35" s="117">
        <v>179</v>
      </c>
      <c r="C35" s="117">
        <v>623.62142</v>
      </c>
      <c r="D35" s="20">
        <v>0</v>
      </c>
      <c r="E35" s="20">
        <v>0</v>
      </c>
      <c r="F35" s="33"/>
      <c r="G35" s="20">
        <v>0</v>
      </c>
      <c r="H35" s="20"/>
      <c r="I35" s="33"/>
      <c r="J35" s="20">
        <v>1170</v>
      </c>
      <c r="K35" s="20">
        <v>4200</v>
      </c>
      <c r="L35" s="20">
        <v>361.26</v>
      </c>
      <c r="M35" s="33"/>
      <c r="N35" s="117">
        <v>17920.25</v>
      </c>
      <c r="O35" s="116"/>
      <c r="P35" s="117">
        <v>1275</v>
      </c>
      <c r="Q35" s="117"/>
      <c r="R35" s="117">
        <v>7290</v>
      </c>
      <c r="S35" s="33"/>
      <c r="T35" s="33">
        <v>0</v>
      </c>
      <c r="U35" s="33">
        <v>0</v>
      </c>
      <c r="V35" s="33">
        <f t="shared" si="0"/>
        <v>0</v>
      </c>
      <c r="W35" s="33"/>
      <c r="X35" s="20"/>
      <c r="Y35" s="20"/>
      <c r="Z35" s="20"/>
      <c r="AA35" s="20"/>
      <c r="AB35" s="20"/>
      <c r="AC35" s="33"/>
      <c r="AD35" s="33"/>
      <c r="AE35" s="20">
        <v>555.117</v>
      </c>
      <c r="AF35" s="20">
        <v>2981</v>
      </c>
      <c r="AG35" s="20">
        <v>0</v>
      </c>
      <c r="AH35" s="20">
        <v>61.545</v>
      </c>
      <c r="AI35" s="20">
        <v>0</v>
      </c>
      <c r="AJ35" s="20">
        <v>28.87</v>
      </c>
      <c r="AK35" s="20">
        <v>0</v>
      </c>
      <c r="AL35" s="20">
        <v>0</v>
      </c>
      <c r="AM35" s="20">
        <v>0</v>
      </c>
      <c r="AN35" s="20">
        <v>0</v>
      </c>
      <c r="AO35" s="20">
        <v>0</v>
      </c>
      <c r="AP35" s="20">
        <v>0</v>
      </c>
      <c r="AQ35" s="20">
        <v>1000</v>
      </c>
      <c r="AR35" s="20"/>
      <c r="AS35" s="20"/>
      <c r="AT35" s="20">
        <v>0</v>
      </c>
      <c r="AU35" s="33"/>
      <c r="AV35" s="20"/>
      <c r="AW35" s="20">
        <v>0</v>
      </c>
      <c r="AX35" s="20">
        <v>0</v>
      </c>
      <c r="AY35" s="20"/>
      <c r="AZ35" s="20">
        <f>SUM('[2]project'!AU35,'[2]project'!AZ35)</f>
        <v>747</v>
      </c>
      <c r="BA35" s="33"/>
      <c r="BB35" s="20">
        <v>0</v>
      </c>
      <c r="BC35" s="20">
        <v>0</v>
      </c>
      <c r="BD35" s="20">
        <v>5125</v>
      </c>
      <c r="BE35" s="20"/>
      <c r="BF35" s="20">
        <v>495</v>
      </c>
      <c r="BG35" s="20">
        <v>0</v>
      </c>
      <c r="BH35" s="20">
        <v>0</v>
      </c>
      <c r="BI35" s="20">
        <v>156</v>
      </c>
      <c r="BJ35" s="20">
        <v>0</v>
      </c>
      <c r="BK35" s="20">
        <v>0</v>
      </c>
      <c r="BL35" s="20">
        <v>0</v>
      </c>
      <c r="BM35" s="20">
        <v>0</v>
      </c>
      <c r="BN35" s="20">
        <v>0</v>
      </c>
      <c r="BO35" s="20"/>
      <c r="BP35" s="20">
        <f>477+523</f>
        <v>1000</v>
      </c>
      <c r="BQ35" s="20"/>
      <c r="BR35" s="20">
        <v>0</v>
      </c>
      <c r="BS35" s="20"/>
      <c r="BT35" s="20"/>
      <c r="BU35" s="20"/>
      <c r="BV35" s="20">
        <v>0</v>
      </c>
      <c r="BW35" s="20">
        <v>2000</v>
      </c>
      <c r="BX35" s="20"/>
      <c r="BY35" s="20">
        <f>1000+1000</f>
        <v>2000</v>
      </c>
      <c r="BZ35" s="20">
        <v>0</v>
      </c>
      <c r="CA35" s="20">
        <v>0</v>
      </c>
      <c r="CB35" s="20"/>
      <c r="CC35" s="20">
        <v>0</v>
      </c>
      <c r="CD35" s="20">
        <v>0</v>
      </c>
      <c r="CE35" s="20">
        <v>0</v>
      </c>
      <c r="CF35" s="33"/>
      <c r="CG35" s="20">
        <v>0</v>
      </c>
      <c r="CH35" s="20"/>
      <c r="CI35" s="20">
        <v>363.635</v>
      </c>
      <c r="CJ35" s="33"/>
      <c r="CK35" s="20"/>
      <c r="CL35" s="33"/>
      <c r="CM35" s="20">
        <v>2271.994</v>
      </c>
      <c r="CN35" s="33"/>
      <c r="CO35" s="20">
        <v>0</v>
      </c>
      <c r="CP35" s="33"/>
      <c r="CQ35" s="20">
        <v>0</v>
      </c>
      <c r="CR35" s="20">
        <v>0</v>
      </c>
      <c r="CS35" s="20">
        <v>0</v>
      </c>
      <c r="CT35" s="20">
        <v>15859.034</v>
      </c>
      <c r="CU35" s="33"/>
      <c r="CV35" s="20">
        <v>32343</v>
      </c>
      <c r="CW35" s="33"/>
      <c r="CX35" s="162">
        <v>17378</v>
      </c>
      <c r="CZ35" s="145">
        <v>0</v>
      </c>
      <c r="DA35" s="33"/>
      <c r="DB35" s="145">
        <v>0</v>
      </c>
      <c r="DC35" s="33"/>
      <c r="DD35" s="33">
        <v>0</v>
      </c>
      <c r="DE35" s="33"/>
      <c r="DF35" s="33">
        <v>3676.241</v>
      </c>
      <c r="DG35" s="33"/>
      <c r="DH35" s="20">
        <v>262</v>
      </c>
    </row>
    <row r="36" spans="1:112" ht="12.75" hidden="1">
      <c r="A36" s="61" t="s">
        <v>39</v>
      </c>
      <c r="B36" s="117">
        <v>18353</v>
      </c>
      <c r="C36" s="117">
        <v>2450</v>
      </c>
      <c r="D36" s="20">
        <v>26460</v>
      </c>
      <c r="E36" s="20">
        <v>26425</v>
      </c>
      <c r="F36" s="33"/>
      <c r="G36" s="20">
        <v>494</v>
      </c>
      <c r="H36" s="20"/>
      <c r="I36" s="33"/>
      <c r="J36" s="20">
        <v>0</v>
      </c>
      <c r="K36" s="20">
        <v>0</v>
      </c>
      <c r="L36" s="20">
        <v>0</v>
      </c>
      <c r="M36" s="33"/>
      <c r="N36" s="117">
        <v>122.39</v>
      </c>
      <c r="O36" s="116"/>
      <c r="P36" s="117">
        <v>6360.926</v>
      </c>
      <c r="Q36" s="117"/>
      <c r="R36" s="117">
        <v>0</v>
      </c>
      <c r="S36" s="33"/>
      <c r="T36" s="33">
        <v>0</v>
      </c>
      <c r="U36" s="33">
        <v>0</v>
      </c>
      <c r="V36" s="33">
        <f t="shared" si="0"/>
        <v>0</v>
      </c>
      <c r="W36" s="33"/>
      <c r="X36" s="20"/>
      <c r="Y36" s="20"/>
      <c r="Z36" s="20"/>
      <c r="AA36" s="20"/>
      <c r="AB36" s="20"/>
      <c r="AC36" s="33"/>
      <c r="AD36" s="33"/>
      <c r="AE36" s="20">
        <v>702.039</v>
      </c>
      <c r="AF36" s="20">
        <v>3660</v>
      </c>
      <c r="AG36" s="20">
        <v>0</v>
      </c>
      <c r="AH36" s="20">
        <v>46.233</v>
      </c>
      <c r="AI36" s="20">
        <v>0</v>
      </c>
      <c r="AJ36" s="20">
        <v>29.295</v>
      </c>
      <c r="AK36" s="20">
        <v>373.414</v>
      </c>
      <c r="AL36" s="20">
        <v>0</v>
      </c>
      <c r="AM36" s="20">
        <v>0</v>
      </c>
      <c r="AN36" s="20">
        <v>0</v>
      </c>
      <c r="AO36" s="20">
        <v>0</v>
      </c>
      <c r="AP36" s="20">
        <v>0</v>
      </c>
      <c r="AQ36" s="20">
        <v>250</v>
      </c>
      <c r="AR36" s="20"/>
      <c r="AS36" s="20"/>
      <c r="AT36" s="20">
        <v>0</v>
      </c>
      <c r="AU36" s="33"/>
      <c r="AV36" s="20"/>
      <c r="AW36" s="20">
        <v>0</v>
      </c>
      <c r="AX36" s="20">
        <v>0</v>
      </c>
      <c r="AY36" s="20"/>
      <c r="AZ36" s="20">
        <f>SUM('[2]project'!AU36,'[2]project'!AZ36)</f>
        <v>10000</v>
      </c>
      <c r="BA36" s="33"/>
      <c r="BB36" s="20">
        <v>775.995</v>
      </c>
      <c r="BC36" s="20">
        <v>0</v>
      </c>
      <c r="BD36" s="20">
        <v>5036</v>
      </c>
      <c r="BE36" s="20"/>
      <c r="BF36" s="20">
        <v>500</v>
      </c>
      <c r="BG36" s="20">
        <v>78</v>
      </c>
      <c r="BH36" s="20">
        <v>78</v>
      </c>
      <c r="BI36" s="20">
        <v>0</v>
      </c>
      <c r="BJ36" s="20">
        <v>0</v>
      </c>
      <c r="BK36" s="20">
        <v>0</v>
      </c>
      <c r="BL36" s="20">
        <v>0</v>
      </c>
      <c r="BM36" s="20">
        <v>0</v>
      </c>
      <c r="BN36" s="20">
        <v>0</v>
      </c>
      <c r="BO36" s="20"/>
      <c r="BP36" s="20">
        <v>700</v>
      </c>
      <c r="BQ36" s="20"/>
      <c r="BR36" s="20">
        <v>0</v>
      </c>
      <c r="BS36" s="20"/>
      <c r="BT36" s="20"/>
      <c r="BU36" s="20"/>
      <c r="BV36" s="20">
        <v>0</v>
      </c>
      <c r="BW36" s="20">
        <v>0</v>
      </c>
      <c r="BX36" s="20"/>
      <c r="BY36" s="20">
        <v>0</v>
      </c>
      <c r="BZ36" s="20">
        <v>0</v>
      </c>
      <c r="CA36" s="20">
        <v>0</v>
      </c>
      <c r="CB36" s="20"/>
      <c r="CC36" s="20">
        <v>4138.254</v>
      </c>
      <c r="CD36" s="20">
        <v>0</v>
      </c>
      <c r="CE36" s="20">
        <v>0</v>
      </c>
      <c r="CF36" s="33"/>
      <c r="CG36" s="20">
        <v>0</v>
      </c>
      <c r="CH36" s="20"/>
      <c r="CI36" s="20">
        <v>438.573</v>
      </c>
      <c r="CJ36" s="33"/>
      <c r="CK36" s="20"/>
      <c r="CL36" s="33"/>
      <c r="CM36" s="20">
        <v>138000</v>
      </c>
      <c r="CN36" s="33"/>
      <c r="CO36" s="20">
        <v>0</v>
      </c>
      <c r="CP36" s="33"/>
      <c r="CQ36" s="20">
        <v>0</v>
      </c>
      <c r="CR36" s="20">
        <v>3000</v>
      </c>
      <c r="CS36" s="20">
        <v>0</v>
      </c>
      <c r="CT36" s="20">
        <v>25267.874</v>
      </c>
      <c r="CU36" s="33"/>
      <c r="CV36" s="20">
        <v>6767</v>
      </c>
      <c r="CW36" s="33"/>
      <c r="CX36" s="162">
        <v>51414</v>
      </c>
      <c r="CZ36" s="145">
        <v>0</v>
      </c>
      <c r="DA36" s="33"/>
      <c r="DB36" s="145">
        <v>0</v>
      </c>
      <c r="DC36" s="33"/>
      <c r="DD36" s="33">
        <v>13090.053</v>
      </c>
      <c r="DE36" s="33"/>
      <c r="DF36" s="33">
        <v>46700.055</v>
      </c>
      <c r="DG36" s="33"/>
      <c r="DH36" s="20">
        <v>0</v>
      </c>
    </row>
    <row r="37" spans="1:112" ht="12.75" customHeight="1" hidden="1">
      <c r="A37" s="10" t="s">
        <v>40</v>
      </c>
      <c r="B37" s="220">
        <v>54</v>
      </c>
      <c r="C37" s="220">
        <v>1252</v>
      </c>
      <c r="D37" s="22">
        <v>0</v>
      </c>
      <c r="E37" s="22">
        <v>0</v>
      </c>
      <c r="F37" s="33"/>
      <c r="G37" s="22">
        <v>0</v>
      </c>
      <c r="H37" s="22"/>
      <c r="I37" s="33"/>
      <c r="J37" s="22">
        <v>0</v>
      </c>
      <c r="K37" s="22">
        <v>0</v>
      </c>
      <c r="L37" s="22">
        <v>569.43</v>
      </c>
      <c r="M37" s="33"/>
      <c r="N37" s="220">
        <v>257.84000000000003</v>
      </c>
      <c r="O37" s="116"/>
      <c r="P37" s="220">
        <v>22819</v>
      </c>
      <c r="Q37" s="116"/>
      <c r="R37" s="220">
        <v>0</v>
      </c>
      <c r="S37" s="33"/>
      <c r="T37" s="22">
        <v>0</v>
      </c>
      <c r="U37" s="22">
        <v>0</v>
      </c>
      <c r="V37" s="22">
        <f t="shared" si="0"/>
        <v>0</v>
      </c>
      <c r="W37" s="33"/>
      <c r="X37" s="22"/>
      <c r="Y37" s="22"/>
      <c r="Z37" s="22"/>
      <c r="AA37" s="22"/>
      <c r="AB37" s="22"/>
      <c r="AC37" s="22"/>
      <c r="AD37" s="33"/>
      <c r="AE37" s="22">
        <v>217.728</v>
      </c>
      <c r="AF37" s="22">
        <v>1100</v>
      </c>
      <c r="AG37" s="22">
        <v>0</v>
      </c>
      <c r="AH37" s="22">
        <v>11.955</v>
      </c>
      <c r="AI37" s="22">
        <v>0</v>
      </c>
      <c r="AJ37" s="22">
        <v>28.36</v>
      </c>
      <c r="AK37" s="22">
        <v>0</v>
      </c>
      <c r="AL37" s="22">
        <v>0</v>
      </c>
      <c r="AM37" s="22">
        <v>0</v>
      </c>
      <c r="AN37" s="22">
        <v>0</v>
      </c>
      <c r="AO37" s="22">
        <v>0</v>
      </c>
      <c r="AP37" s="22">
        <v>0</v>
      </c>
      <c r="AQ37" s="22">
        <v>250</v>
      </c>
      <c r="AR37" s="22"/>
      <c r="AS37" s="22"/>
      <c r="AT37" s="22">
        <v>0</v>
      </c>
      <c r="AU37" s="33"/>
      <c r="AV37" s="22"/>
      <c r="AW37" s="22">
        <v>0</v>
      </c>
      <c r="AX37" s="22">
        <v>0</v>
      </c>
      <c r="AY37" s="22"/>
      <c r="AZ37" s="22">
        <f>SUM('[2]project'!AU37,'[2]project'!AZ37)</f>
        <v>165</v>
      </c>
      <c r="BA37" s="33"/>
      <c r="BB37" s="22">
        <v>0</v>
      </c>
      <c r="BC37" s="22">
        <v>0</v>
      </c>
      <c r="BD37" s="22">
        <v>5131</v>
      </c>
      <c r="BE37" s="22"/>
      <c r="BF37" s="22">
        <v>450</v>
      </c>
      <c r="BG37" s="22">
        <v>0</v>
      </c>
      <c r="BH37" s="22">
        <v>0</v>
      </c>
      <c r="BI37" s="22">
        <v>156</v>
      </c>
      <c r="BJ37" s="22">
        <v>0</v>
      </c>
      <c r="BK37" s="22">
        <v>0</v>
      </c>
      <c r="BL37" s="22">
        <v>0</v>
      </c>
      <c r="BM37" s="22">
        <v>0</v>
      </c>
      <c r="BN37" s="22">
        <v>0</v>
      </c>
      <c r="BO37" s="22"/>
      <c r="BP37" s="22">
        <v>0</v>
      </c>
      <c r="BQ37" s="22"/>
      <c r="BR37" s="22">
        <v>559</v>
      </c>
      <c r="BS37" s="22"/>
      <c r="BT37" s="22"/>
      <c r="BU37" s="22"/>
      <c r="BV37" s="22">
        <v>0</v>
      </c>
      <c r="BW37" s="22">
        <v>4333.786</v>
      </c>
      <c r="BX37" s="22"/>
      <c r="BY37" s="22">
        <f>1650/3+(1150/6)</f>
        <v>741.6666666666666</v>
      </c>
      <c r="BZ37" s="22">
        <v>400</v>
      </c>
      <c r="CA37" s="22">
        <v>1800</v>
      </c>
      <c r="CB37" s="22"/>
      <c r="CC37" s="22">
        <v>1655.671</v>
      </c>
      <c r="CD37" s="22">
        <v>0</v>
      </c>
      <c r="CE37" s="22">
        <v>43.927</v>
      </c>
      <c r="CF37" s="33"/>
      <c r="CG37" s="22">
        <v>0</v>
      </c>
      <c r="CH37" s="22"/>
      <c r="CI37" s="22">
        <v>320.729</v>
      </c>
      <c r="CJ37" s="33"/>
      <c r="CK37" s="22"/>
      <c r="CL37" s="33"/>
      <c r="CM37" s="22">
        <v>15815.225</v>
      </c>
      <c r="CN37" s="33"/>
      <c r="CO37" s="22">
        <v>0</v>
      </c>
      <c r="CP37" s="33"/>
      <c r="CQ37" s="22">
        <v>0</v>
      </c>
      <c r="CR37" s="22">
        <v>0</v>
      </c>
      <c r="CS37" s="22">
        <v>0</v>
      </c>
      <c r="CT37" s="22">
        <v>5600</v>
      </c>
      <c r="CU37" s="33"/>
      <c r="CV37" s="22">
        <v>29784</v>
      </c>
      <c r="CW37" s="33"/>
      <c r="CX37" s="142">
        <v>0</v>
      </c>
      <c r="CZ37" s="142">
        <v>0</v>
      </c>
      <c r="DA37" s="33"/>
      <c r="DB37" s="142">
        <v>0</v>
      </c>
      <c r="DC37" s="33"/>
      <c r="DD37" s="22">
        <v>0</v>
      </c>
      <c r="DE37" s="33"/>
      <c r="DF37" s="22">
        <v>27713.062</v>
      </c>
      <c r="DG37" s="33"/>
      <c r="DH37" s="22">
        <v>571</v>
      </c>
    </row>
    <row r="38" spans="1:112" ht="12.75" hidden="1">
      <c r="A38" s="61" t="s">
        <v>41</v>
      </c>
      <c r="B38" s="117">
        <v>1268</v>
      </c>
      <c r="C38" s="117">
        <v>994</v>
      </c>
      <c r="D38" s="20">
        <v>0</v>
      </c>
      <c r="E38" s="20">
        <v>0</v>
      </c>
      <c r="F38" s="33"/>
      <c r="G38" s="20">
        <v>1975</v>
      </c>
      <c r="H38" s="20"/>
      <c r="I38" s="33"/>
      <c r="J38" s="20">
        <v>0</v>
      </c>
      <c r="K38" s="20">
        <v>0</v>
      </c>
      <c r="L38" s="20">
        <v>841.164</v>
      </c>
      <c r="M38" s="33"/>
      <c r="N38" s="117">
        <v>0</v>
      </c>
      <c r="O38" s="116"/>
      <c r="P38" s="117">
        <v>20122</v>
      </c>
      <c r="Q38" s="117"/>
      <c r="R38" s="117">
        <v>0</v>
      </c>
      <c r="S38" s="33"/>
      <c r="T38" s="33">
        <v>0</v>
      </c>
      <c r="U38" s="33">
        <v>0</v>
      </c>
      <c r="V38" s="33">
        <f t="shared" si="0"/>
        <v>0</v>
      </c>
      <c r="W38" s="33"/>
      <c r="X38" s="20"/>
      <c r="Y38" s="20"/>
      <c r="Z38" s="20"/>
      <c r="AA38" s="20"/>
      <c r="AB38" s="20"/>
      <c r="AC38" s="33"/>
      <c r="AD38" s="33"/>
      <c r="AE38" s="20">
        <v>1795.144</v>
      </c>
      <c r="AF38" s="20">
        <v>8691</v>
      </c>
      <c r="AG38" s="20">
        <v>125</v>
      </c>
      <c r="AH38" s="20">
        <v>475.052</v>
      </c>
      <c r="AI38" s="20">
        <v>300</v>
      </c>
      <c r="AJ38" s="20">
        <v>33.885</v>
      </c>
      <c r="AK38" s="20">
        <v>315.205</v>
      </c>
      <c r="AL38" s="20">
        <v>28.529</v>
      </c>
      <c r="AM38" s="20">
        <v>0</v>
      </c>
      <c r="AN38" s="20">
        <v>0</v>
      </c>
      <c r="AO38" s="20">
        <v>0</v>
      </c>
      <c r="AP38" s="20">
        <v>0</v>
      </c>
      <c r="AQ38" s="20">
        <v>499.995</v>
      </c>
      <c r="AR38" s="20"/>
      <c r="AS38" s="20"/>
      <c r="AT38" s="20">
        <v>0</v>
      </c>
      <c r="AU38" s="33"/>
      <c r="AV38" s="20"/>
      <c r="AW38" s="20">
        <v>0</v>
      </c>
      <c r="AX38" s="20">
        <v>0</v>
      </c>
      <c r="AY38" s="20"/>
      <c r="AZ38" s="20">
        <f>SUM('[2]project'!AU38,'[2]project'!AZ38)</f>
        <v>27113.061999999998</v>
      </c>
      <c r="BA38" s="33"/>
      <c r="BB38" s="20">
        <v>5443.507</v>
      </c>
      <c r="BC38" s="20">
        <v>0</v>
      </c>
      <c r="BD38" s="20">
        <v>26813</v>
      </c>
      <c r="BE38" s="20"/>
      <c r="BF38" s="20">
        <v>863.425</v>
      </c>
      <c r="BG38" s="20">
        <v>78</v>
      </c>
      <c r="BH38" s="20">
        <v>78</v>
      </c>
      <c r="BI38" s="20">
        <v>0</v>
      </c>
      <c r="BJ38" s="20">
        <v>0</v>
      </c>
      <c r="BK38" s="20">
        <v>0</v>
      </c>
      <c r="BL38" s="20">
        <v>13930.502</v>
      </c>
      <c r="BM38" s="20">
        <v>0</v>
      </c>
      <c r="BN38" s="20">
        <v>0</v>
      </c>
      <c r="BO38" s="20"/>
      <c r="BP38" s="20">
        <f>700+700</f>
        <v>1400</v>
      </c>
      <c r="BQ38" s="20"/>
      <c r="BR38" s="20">
        <v>0</v>
      </c>
      <c r="BS38" s="20"/>
      <c r="BT38" s="20"/>
      <c r="BU38" s="20"/>
      <c r="BV38" s="20">
        <v>0</v>
      </c>
      <c r="BW38" s="20">
        <v>0</v>
      </c>
      <c r="BX38" s="20"/>
      <c r="BY38" s="20">
        <f>1400+(7000/2)+(2800/3)</f>
        <v>5833.333333333333</v>
      </c>
      <c r="BZ38" s="20">
        <v>1800</v>
      </c>
      <c r="CA38" s="20">
        <v>0</v>
      </c>
      <c r="CB38" s="20"/>
      <c r="CC38" s="20">
        <v>3567.491</v>
      </c>
      <c r="CD38" s="20">
        <v>20033.426</v>
      </c>
      <c r="CE38" s="20">
        <v>9084.828</v>
      </c>
      <c r="CF38" s="33"/>
      <c r="CG38" s="20">
        <v>0</v>
      </c>
      <c r="CH38" s="20"/>
      <c r="CI38" s="20">
        <v>996.658</v>
      </c>
      <c r="CJ38" s="33"/>
      <c r="CK38" s="20"/>
      <c r="CL38" s="33"/>
      <c r="CM38" s="20">
        <v>18700</v>
      </c>
      <c r="CN38" s="33"/>
      <c r="CO38" s="20">
        <v>1000</v>
      </c>
      <c r="CP38" s="33"/>
      <c r="CQ38" s="20">
        <v>0</v>
      </c>
      <c r="CR38" s="20">
        <v>250</v>
      </c>
      <c r="CS38" s="20">
        <v>0</v>
      </c>
      <c r="CT38" s="20">
        <v>13807.871</v>
      </c>
      <c r="CU38" s="33"/>
      <c r="CV38" s="20">
        <v>223279</v>
      </c>
      <c r="CW38" s="33"/>
      <c r="CX38" s="162">
        <v>27258</v>
      </c>
      <c r="CZ38" s="145">
        <v>0</v>
      </c>
      <c r="DA38" s="33"/>
      <c r="DB38" s="145">
        <v>0</v>
      </c>
      <c r="DC38" s="33"/>
      <c r="DD38" s="33">
        <v>45263.475</v>
      </c>
      <c r="DE38" s="33"/>
      <c r="DF38" s="20">
        <v>74412.967</v>
      </c>
      <c r="DG38" s="33"/>
      <c r="DH38" s="20">
        <v>256</v>
      </c>
    </row>
    <row r="39" spans="1:112" ht="12.75" hidden="1">
      <c r="A39" s="61" t="s">
        <v>42</v>
      </c>
      <c r="B39" s="117">
        <v>8021</v>
      </c>
      <c r="C39" s="117">
        <v>3876</v>
      </c>
      <c r="D39" s="20">
        <v>28534</v>
      </c>
      <c r="E39" s="20">
        <v>6060</v>
      </c>
      <c r="F39" s="33"/>
      <c r="G39" s="20">
        <v>0</v>
      </c>
      <c r="H39" s="20"/>
      <c r="I39" s="33"/>
      <c r="J39" s="20">
        <v>0</v>
      </c>
      <c r="K39" s="20">
        <v>1440</v>
      </c>
      <c r="L39" s="20">
        <v>0</v>
      </c>
      <c r="M39" s="33"/>
      <c r="N39" s="117">
        <v>36338.85</v>
      </c>
      <c r="O39" s="116"/>
      <c r="P39" s="117">
        <v>43275</v>
      </c>
      <c r="Q39" s="117"/>
      <c r="R39" s="117">
        <v>0</v>
      </c>
      <c r="S39" s="33"/>
      <c r="T39" s="33">
        <v>0</v>
      </c>
      <c r="U39" s="33">
        <v>0</v>
      </c>
      <c r="V39" s="33">
        <f t="shared" si="0"/>
        <v>0</v>
      </c>
      <c r="W39" s="33"/>
      <c r="X39" s="20"/>
      <c r="Y39" s="20"/>
      <c r="Z39" s="20"/>
      <c r="AA39" s="20"/>
      <c r="AB39" s="20"/>
      <c r="AC39" s="33"/>
      <c r="AD39" s="33"/>
      <c r="AE39" s="20">
        <v>965.725</v>
      </c>
      <c r="AF39" s="20">
        <v>4641</v>
      </c>
      <c r="AG39" s="20">
        <v>0</v>
      </c>
      <c r="AH39" s="20">
        <v>29.976</v>
      </c>
      <c r="AI39" s="20">
        <v>100</v>
      </c>
      <c r="AJ39" s="20">
        <v>42.765</v>
      </c>
      <c r="AK39" s="20">
        <v>225.078</v>
      </c>
      <c r="AL39" s="20">
        <v>4.808</v>
      </c>
      <c r="AM39" s="20">
        <v>0</v>
      </c>
      <c r="AN39" s="20">
        <v>0</v>
      </c>
      <c r="AO39" s="20">
        <v>0</v>
      </c>
      <c r="AP39" s="20">
        <v>0</v>
      </c>
      <c r="AQ39" s="20">
        <v>499.716</v>
      </c>
      <c r="AR39" s="20"/>
      <c r="AS39" s="20"/>
      <c r="AT39" s="20">
        <v>0</v>
      </c>
      <c r="AU39" s="33"/>
      <c r="AV39" s="20"/>
      <c r="AW39" s="20">
        <v>6000</v>
      </c>
      <c r="AX39" s="20">
        <v>0</v>
      </c>
      <c r="AY39" s="20"/>
      <c r="AZ39" s="20">
        <f>SUM('[2]project'!AU39,'[2]project'!AZ39)</f>
        <v>5338.8</v>
      </c>
      <c r="BA39" s="33"/>
      <c r="BB39" s="20">
        <v>0</v>
      </c>
      <c r="BC39" s="20">
        <v>499.998</v>
      </c>
      <c r="BD39" s="20">
        <v>5072</v>
      </c>
      <c r="BE39" s="20"/>
      <c r="BF39" s="20">
        <v>496.271</v>
      </c>
      <c r="BG39" s="20">
        <v>78</v>
      </c>
      <c r="BH39" s="20">
        <v>78</v>
      </c>
      <c r="BI39" s="20">
        <v>0</v>
      </c>
      <c r="BJ39" s="20">
        <v>0</v>
      </c>
      <c r="BK39" s="20">
        <v>0</v>
      </c>
      <c r="BL39" s="20">
        <v>0</v>
      </c>
      <c r="BM39" s="20">
        <v>293.851</v>
      </c>
      <c r="BN39" s="20">
        <f>826+894</f>
        <v>1720</v>
      </c>
      <c r="BO39" s="20"/>
      <c r="BP39" s="20">
        <v>700</v>
      </c>
      <c r="BQ39" s="20"/>
      <c r="BR39" s="20">
        <v>0</v>
      </c>
      <c r="BS39" s="20"/>
      <c r="BT39" s="20"/>
      <c r="BU39" s="20"/>
      <c r="BV39" s="20">
        <v>0</v>
      </c>
      <c r="BW39" s="20">
        <f>1750+650</f>
        <v>2400</v>
      </c>
      <c r="BX39" s="20"/>
      <c r="BY39" s="20">
        <v>583.125</v>
      </c>
      <c r="BZ39" s="20">
        <v>1000</v>
      </c>
      <c r="CA39" s="20">
        <v>1840</v>
      </c>
      <c r="CB39" s="20"/>
      <c r="CC39" s="20">
        <v>2700.204</v>
      </c>
      <c r="CD39" s="20">
        <v>0</v>
      </c>
      <c r="CE39" s="20">
        <v>0</v>
      </c>
      <c r="CF39" s="33"/>
      <c r="CG39" s="20">
        <v>0</v>
      </c>
      <c r="CH39" s="20"/>
      <c r="CI39" s="20">
        <v>382.07</v>
      </c>
      <c r="CJ39" s="33"/>
      <c r="CK39" s="20"/>
      <c r="CL39" s="33"/>
      <c r="CM39" s="20">
        <v>0</v>
      </c>
      <c r="CN39" s="33"/>
      <c r="CO39" s="20">
        <v>0</v>
      </c>
      <c r="CP39" s="33"/>
      <c r="CQ39" s="20">
        <v>0</v>
      </c>
      <c r="CR39" s="20">
        <v>0</v>
      </c>
      <c r="CS39" s="20">
        <v>0</v>
      </c>
      <c r="CT39" s="20">
        <v>16478</v>
      </c>
      <c r="CU39" s="33"/>
      <c r="CV39" s="20">
        <v>64602</v>
      </c>
      <c r="CW39" s="33"/>
      <c r="CX39" s="162">
        <v>21968</v>
      </c>
      <c r="CZ39" s="145">
        <v>0</v>
      </c>
      <c r="DA39" s="33"/>
      <c r="DB39" s="145">
        <v>0</v>
      </c>
      <c r="DC39" s="33"/>
      <c r="DD39" s="33">
        <v>0</v>
      </c>
      <c r="DE39" s="33"/>
      <c r="DF39" s="20">
        <v>46074.595</v>
      </c>
      <c r="DG39" s="33"/>
      <c r="DH39" s="20">
        <v>301</v>
      </c>
    </row>
    <row r="40" spans="1:112" ht="12.75" hidden="1">
      <c r="A40" s="61" t="s">
        <v>43</v>
      </c>
      <c r="B40" s="117">
        <v>20762</v>
      </c>
      <c r="C40" s="117">
        <v>10604</v>
      </c>
      <c r="D40" s="20">
        <v>0</v>
      </c>
      <c r="E40" s="20">
        <v>0</v>
      </c>
      <c r="F40" s="33"/>
      <c r="G40" s="20">
        <v>763</v>
      </c>
      <c r="H40" s="20"/>
      <c r="I40" s="33"/>
      <c r="J40" s="20">
        <v>2744.2</v>
      </c>
      <c r="K40" s="20">
        <v>1000</v>
      </c>
      <c r="L40" s="20">
        <v>2007.966</v>
      </c>
      <c r="M40" s="33"/>
      <c r="N40" s="117">
        <v>13749.29</v>
      </c>
      <c r="O40" s="116"/>
      <c r="P40" s="117">
        <v>79994.13</v>
      </c>
      <c r="Q40" s="117"/>
      <c r="R40" s="117">
        <v>0</v>
      </c>
      <c r="S40" s="33"/>
      <c r="T40" s="33">
        <v>0</v>
      </c>
      <c r="U40" s="33">
        <v>0</v>
      </c>
      <c r="V40" s="33">
        <f t="shared" si="0"/>
        <v>0</v>
      </c>
      <c r="W40" s="33"/>
      <c r="X40" s="20"/>
      <c r="Y40" s="20"/>
      <c r="Z40" s="20"/>
      <c r="AA40" s="20"/>
      <c r="AB40" s="20"/>
      <c r="AC40" s="33"/>
      <c r="AD40" s="33"/>
      <c r="AE40" s="20">
        <v>6107.857</v>
      </c>
      <c r="AF40" s="20">
        <v>29711</v>
      </c>
      <c r="AG40" s="20">
        <v>0</v>
      </c>
      <c r="AH40" s="20">
        <v>51.817</v>
      </c>
      <c r="AI40" s="20">
        <v>0</v>
      </c>
      <c r="AJ40" s="20">
        <v>54.625</v>
      </c>
      <c r="AK40" s="20">
        <v>1237.985</v>
      </c>
      <c r="AL40" s="20">
        <v>162.841</v>
      </c>
      <c r="AM40" s="20">
        <v>0</v>
      </c>
      <c r="AN40" s="20">
        <v>2131.256</v>
      </c>
      <c r="AO40" s="20">
        <v>0</v>
      </c>
      <c r="AP40" s="20">
        <v>295.604</v>
      </c>
      <c r="AQ40" s="20">
        <v>2250</v>
      </c>
      <c r="AR40" s="20"/>
      <c r="AS40" s="20"/>
      <c r="AT40" s="20">
        <v>615.706</v>
      </c>
      <c r="AU40" s="33"/>
      <c r="AV40" s="20"/>
      <c r="AW40" s="20">
        <v>3000</v>
      </c>
      <c r="AX40" s="20">
        <v>0</v>
      </c>
      <c r="AY40" s="20"/>
      <c r="AZ40" s="20">
        <f>SUM('[2]project'!AU40,'[2]project'!AZ40)</f>
        <v>18473.919</v>
      </c>
      <c r="BA40" s="33"/>
      <c r="BB40" s="20">
        <v>17292.021999999997</v>
      </c>
      <c r="BC40" s="20">
        <v>0</v>
      </c>
      <c r="BD40" s="20">
        <v>19931</v>
      </c>
      <c r="BE40" s="20"/>
      <c r="BF40" s="20">
        <v>1226.061</v>
      </c>
      <c r="BG40" s="20">
        <v>78</v>
      </c>
      <c r="BH40" s="20">
        <v>78</v>
      </c>
      <c r="BI40" s="20">
        <v>0</v>
      </c>
      <c r="BJ40" s="20">
        <v>0</v>
      </c>
      <c r="BK40" s="20">
        <v>0</v>
      </c>
      <c r="BL40" s="20">
        <v>0</v>
      </c>
      <c r="BM40" s="20">
        <v>0</v>
      </c>
      <c r="BN40" s="20">
        <v>0</v>
      </c>
      <c r="BO40" s="20"/>
      <c r="BP40" s="20">
        <f>622+700+519</f>
        <v>1841</v>
      </c>
      <c r="BQ40" s="20"/>
      <c r="BR40" s="20">
        <v>0</v>
      </c>
      <c r="BS40" s="20"/>
      <c r="BT40" s="20"/>
      <c r="BU40" s="20"/>
      <c r="BV40" s="20">
        <v>2500</v>
      </c>
      <c r="BW40" s="20">
        <f>3000+1454.08</f>
        <v>4454.08</v>
      </c>
      <c r="BX40" s="20"/>
      <c r="BY40" s="20">
        <f>2000+(1050)+2860+(7000/2)+(2800/3)</f>
        <v>10343.333333333334</v>
      </c>
      <c r="BZ40" s="20">
        <v>0</v>
      </c>
      <c r="CA40" s="20">
        <v>900</v>
      </c>
      <c r="CB40" s="20"/>
      <c r="CC40" s="20">
        <v>1446.431</v>
      </c>
      <c r="CD40" s="20">
        <v>58171.496</v>
      </c>
      <c r="CE40" s="20">
        <v>5091.892</v>
      </c>
      <c r="CF40" s="33"/>
      <c r="CG40" s="20">
        <f>52352.334+22296.494</f>
        <v>74648.82800000001</v>
      </c>
      <c r="CH40" s="20"/>
      <c r="CI40" s="20">
        <v>1988.289</v>
      </c>
      <c r="CJ40" s="33"/>
      <c r="CK40" s="20"/>
      <c r="CL40" s="33"/>
      <c r="CM40" s="20">
        <v>173553.807</v>
      </c>
      <c r="CN40" s="33"/>
      <c r="CO40" s="20">
        <v>0</v>
      </c>
      <c r="CP40" s="33"/>
      <c r="CQ40" s="20">
        <f>2500+4000</f>
        <v>6500</v>
      </c>
      <c r="CR40" s="20">
        <v>5520</v>
      </c>
      <c r="CS40" s="20">
        <f>195410+78870</f>
        <v>274280</v>
      </c>
      <c r="CT40" s="20">
        <v>31174.491</v>
      </c>
      <c r="CU40" s="33"/>
      <c r="CV40" s="20">
        <v>192049</v>
      </c>
      <c r="CW40" s="33"/>
      <c r="CX40" s="162">
        <f>34374+699872+29535</f>
        <v>763781</v>
      </c>
      <c r="CZ40" s="145">
        <v>0</v>
      </c>
      <c r="DB40" s="145">
        <v>1540</v>
      </c>
      <c r="DD40" s="145">
        <v>2000</v>
      </c>
      <c r="DF40" s="145">
        <v>0</v>
      </c>
      <c r="DG40" s="33"/>
      <c r="DH40" s="20">
        <v>5328</v>
      </c>
    </row>
    <row r="41" spans="1:112" ht="12.75" hidden="1">
      <c r="A41" s="119" t="s">
        <v>44</v>
      </c>
      <c r="B41" s="117">
        <v>22949</v>
      </c>
      <c r="C41" s="117">
        <v>9694.5</v>
      </c>
      <c r="D41" s="117">
        <v>0</v>
      </c>
      <c r="E41" s="117">
        <v>0</v>
      </c>
      <c r="F41" s="116"/>
      <c r="G41" s="117">
        <v>2802</v>
      </c>
      <c r="H41" s="117"/>
      <c r="I41" s="116"/>
      <c r="J41" s="117">
        <v>0</v>
      </c>
      <c r="K41" s="117">
        <v>5280.858</v>
      </c>
      <c r="L41" s="117">
        <v>741</v>
      </c>
      <c r="M41" s="116"/>
      <c r="N41" s="117">
        <v>31230.898000000005</v>
      </c>
      <c r="O41" s="116"/>
      <c r="P41" s="117">
        <v>5760</v>
      </c>
      <c r="Q41" s="117"/>
      <c r="R41" s="117">
        <v>0</v>
      </c>
      <c r="S41" s="116"/>
      <c r="T41" s="116">
        <v>0</v>
      </c>
      <c r="U41" s="116">
        <v>0</v>
      </c>
      <c r="V41" s="116">
        <f t="shared" si="0"/>
        <v>0</v>
      </c>
      <c r="W41" s="116"/>
      <c r="X41" s="117"/>
      <c r="Y41" s="117"/>
      <c r="Z41" s="117"/>
      <c r="AA41" s="117"/>
      <c r="AB41" s="117"/>
      <c r="AC41" s="116"/>
      <c r="AD41" s="116"/>
      <c r="AE41" s="117">
        <v>3437.818</v>
      </c>
      <c r="AF41" s="117">
        <v>17073</v>
      </c>
      <c r="AG41" s="117">
        <v>34</v>
      </c>
      <c r="AH41" s="117">
        <v>76.972</v>
      </c>
      <c r="AI41" s="117">
        <v>0</v>
      </c>
      <c r="AJ41" s="117">
        <v>0</v>
      </c>
      <c r="AK41" s="117">
        <v>886.072</v>
      </c>
      <c r="AL41" s="117">
        <v>451.661</v>
      </c>
      <c r="AM41" s="117">
        <v>0</v>
      </c>
      <c r="AN41" s="117">
        <v>0</v>
      </c>
      <c r="AO41" s="117">
        <v>0</v>
      </c>
      <c r="AP41" s="117">
        <v>0</v>
      </c>
      <c r="AQ41" s="20">
        <v>1000</v>
      </c>
      <c r="AR41" s="117"/>
      <c r="AS41" s="117"/>
      <c r="AT41" s="117">
        <v>1865.625</v>
      </c>
      <c r="AU41" s="116"/>
      <c r="AV41" s="117"/>
      <c r="AW41" s="117">
        <v>4000</v>
      </c>
      <c r="AX41" s="117">
        <v>0</v>
      </c>
      <c r="AY41" s="117"/>
      <c r="AZ41" s="117">
        <f>SUM('[2]project'!AU41,'[2]project'!AZ41)</f>
        <v>34087.28599999999</v>
      </c>
      <c r="BA41" s="116"/>
      <c r="BB41" s="117">
        <v>937.729</v>
      </c>
      <c r="BC41" s="117">
        <f>498.203+480.296+401.272</f>
        <v>1379.771</v>
      </c>
      <c r="BD41" s="117">
        <v>30956</v>
      </c>
      <c r="BE41" s="117"/>
      <c r="BF41" s="117">
        <v>1491.722</v>
      </c>
      <c r="BG41" s="117">
        <v>78</v>
      </c>
      <c r="BH41" s="117">
        <v>78</v>
      </c>
      <c r="BI41" s="117">
        <v>0</v>
      </c>
      <c r="BJ41" s="117">
        <v>0</v>
      </c>
      <c r="BK41" s="117">
        <v>0</v>
      </c>
      <c r="BL41" s="117">
        <v>18000</v>
      </c>
      <c r="BM41" s="117">
        <v>499.572</v>
      </c>
      <c r="BN41" s="117">
        <v>724.497</v>
      </c>
      <c r="BO41" s="117"/>
      <c r="BP41" s="117">
        <f>611+509</f>
        <v>1120</v>
      </c>
      <c r="BQ41" s="117"/>
      <c r="BR41" s="117">
        <v>0</v>
      </c>
      <c r="BS41" s="117"/>
      <c r="BT41" s="117"/>
      <c r="BU41" s="117"/>
      <c r="BV41" s="117">
        <f>1600+435</f>
        <v>2035</v>
      </c>
      <c r="BW41" s="117">
        <v>907</v>
      </c>
      <c r="BX41" s="117"/>
      <c r="BY41" s="117">
        <f>1120+509+(1200/8)</f>
        <v>1779</v>
      </c>
      <c r="BZ41" s="117">
        <v>1000</v>
      </c>
      <c r="CA41" s="117">
        <v>660</v>
      </c>
      <c r="CB41" s="117"/>
      <c r="CC41" s="117">
        <v>8366.609</v>
      </c>
      <c r="CD41" s="117">
        <v>0</v>
      </c>
      <c r="CE41" s="117">
        <v>0</v>
      </c>
      <c r="CF41" s="116"/>
      <c r="CG41" s="117">
        <v>0</v>
      </c>
      <c r="CH41" s="117"/>
      <c r="CI41" s="117">
        <v>1046.182</v>
      </c>
      <c r="CJ41" s="116"/>
      <c r="CK41" s="117"/>
      <c r="CL41" s="116"/>
      <c r="CM41" s="117">
        <v>403927.899</v>
      </c>
      <c r="CN41" s="116"/>
      <c r="CO41" s="117">
        <v>3111.693</v>
      </c>
      <c r="CP41" s="116"/>
      <c r="CQ41" s="117">
        <v>0</v>
      </c>
      <c r="CR41" s="117">
        <v>3000</v>
      </c>
      <c r="CS41" s="117">
        <v>0</v>
      </c>
      <c r="CT41" s="117">
        <v>26595.492</v>
      </c>
      <c r="CU41" s="116"/>
      <c r="CV41" s="117">
        <v>187167</v>
      </c>
      <c r="CW41" s="116"/>
      <c r="CX41" s="162">
        <f>25962+15948+12244+17147+17304</f>
        <v>88605</v>
      </c>
      <c r="CZ41" s="145">
        <v>0</v>
      </c>
      <c r="DA41" s="33"/>
      <c r="DB41" s="145">
        <v>0</v>
      </c>
      <c r="DC41" s="33"/>
      <c r="DD41" s="33">
        <v>0</v>
      </c>
      <c r="DE41" s="33"/>
      <c r="DF41" s="20">
        <v>95000</v>
      </c>
      <c r="DG41" s="116"/>
      <c r="DH41" s="117">
        <v>0</v>
      </c>
    </row>
    <row r="42" spans="1:112" ht="12.75" hidden="1">
      <c r="A42" s="10" t="s">
        <v>45</v>
      </c>
      <c r="B42" s="220">
        <v>107</v>
      </c>
      <c r="C42" s="220">
        <v>8176.4</v>
      </c>
      <c r="D42" s="22">
        <v>350</v>
      </c>
      <c r="E42" s="22">
        <v>59000</v>
      </c>
      <c r="F42" s="33"/>
      <c r="G42" s="22">
        <v>0</v>
      </c>
      <c r="H42" s="22"/>
      <c r="I42" s="33"/>
      <c r="J42" s="22">
        <v>0</v>
      </c>
      <c r="K42" s="22">
        <v>0</v>
      </c>
      <c r="L42" s="22">
        <v>11773.349</v>
      </c>
      <c r="M42" s="33"/>
      <c r="N42" s="220">
        <v>1071.45</v>
      </c>
      <c r="O42" s="116"/>
      <c r="P42" s="220">
        <v>17248.559999999998</v>
      </c>
      <c r="Q42" s="116"/>
      <c r="R42" s="220">
        <v>0</v>
      </c>
      <c r="S42" s="33"/>
      <c r="T42" s="22">
        <v>0</v>
      </c>
      <c r="U42" s="22">
        <v>0</v>
      </c>
      <c r="V42" s="22">
        <f t="shared" si="0"/>
        <v>0</v>
      </c>
      <c r="W42" s="33"/>
      <c r="X42" s="22"/>
      <c r="Y42" s="22"/>
      <c r="Z42" s="22"/>
      <c r="AA42" s="22"/>
      <c r="AB42" s="22"/>
      <c r="AC42" s="22"/>
      <c r="AD42" s="33"/>
      <c r="AE42" s="22">
        <v>89.872</v>
      </c>
      <c r="AF42" s="22">
        <v>821</v>
      </c>
      <c r="AG42" s="22">
        <v>0</v>
      </c>
      <c r="AH42" s="22">
        <v>12.672</v>
      </c>
      <c r="AI42" s="22">
        <v>0</v>
      </c>
      <c r="AJ42" s="22">
        <v>32.27</v>
      </c>
      <c r="AK42" s="22">
        <v>34.606</v>
      </c>
      <c r="AL42" s="22">
        <v>0</v>
      </c>
      <c r="AM42" s="22">
        <v>0</v>
      </c>
      <c r="AN42" s="22">
        <v>0</v>
      </c>
      <c r="AO42" s="22">
        <v>0</v>
      </c>
      <c r="AP42" s="22">
        <v>0</v>
      </c>
      <c r="AQ42" s="22">
        <v>0</v>
      </c>
      <c r="AR42" s="22"/>
      <c r="AS42" s="22"/>
      <c r="AT42" s="22">
        <v>0</v>
      </c>
      <c r="AU42" s="33"/>
      <c r="AV42" s="22"/>
      <c r="AW42" s="22">
        <v>0</v>
      </c>
      <c r="AX42" s="22">
        <v>0</v>
      </c>
      <c r="AY42" s="22"/>
      <c r="AZ42" s="22">
        <f>SUM('[2]project'!AU42,'[2]project'!AZ42)</f>
        <v>957.9159999999999</v>
      </c>
      <c r="BA42" s="33"/>
      <c r="BB42" s="22">
        <v>0</v>
      </c>
      <c r="BC42" s="22">
        <v>0</v>
      </c>
      <c r="BD42" s="22">
        <v>5043</v>
      </c>
      <c r="BE42" s="22"/>
      <c r="BF42" s="22">
        <v>699.022</v>
      </c>
      <c r="BG42" s="22">
        <v>0</v>
      </c>
      <c r="BH42" s="22">
        <v>0</v>
      </c>
      <c r="BI42" s="22">
        <v>156</v>
      </c>
      <c r="BJ42" s="22">
        <v>420.188</v>
      </c>
      <c r="BK42" s="22">
        <v>348.5</v>
      </c>
      <c r="BL42" s="22">
        <v>0</v>
      </c>
      <c r="BM42" s="22">
        <v>0</v>
      </c>
      <c r="BN42" s="22">
        <v>0</v>
      </c>
      <c r="BO42" s="22"/>
      <c r="BP42" s="22">
        <v>664</v>
      </c>
      <c r="BQ42" s="22"/>
      <c r="BR42" s="22">
        <v>0</v>
      </c>
      <c r="BS42" s="22"/>
      <c r="BT42" s="22"/>
      <c r="BU42" s="22"/>
      <c r="BV42" s="22">
        <v>0</v>
      </c>
      <c r="BW42" s="22">
        <v>431</v>
      </c>
      <c r="BX42" s="22"/>
      <c r="BY42" s="22">
        <f>450+(850/6)</f>
        <v>591.6666666666666</v>
      </c>
      <c r="BZ42" s="22">
        <v>0</v>
      </c>
      <c r="CA42" s="22">
        <v>0</v>
      </c>
      <c r="CB42" s="22"/>
      <c r="CC42" s="22">
        <v>0</v>
      </c>
      <c r="CD42" s="22">
        <v>0</v>
      </c>
      <c r="CE42" s="22">
        <v>0</v>
      </c>
      <c r="CF42" s="33"/>
      <c r="CG42" s="22">
        <v>0</v>
      </c>
      <c r="CH42" s="22"/>
      <c r="CI42" s="22">
        <v>258.858</v>
      </c>
      <c r="CJ42" s="33"/>
      <c r="CK42" s="22"/>
      <c r="CL42" s="33"/>
      <c r="CM42" s="22">
        <v>0</v>
      </c>
      <c r="CN42" s="33"/>
      <c r="CO42" s="22">
        <v>0</v>
      </c>
      <c r="CP42" s="33"/>
      <c r="CQ42" s="22">
        <v>0</v>
      </c>
      <c r="CR42" s="22">
        <v>0</v>
      </c>
      <c r="CS42" s="22">
        <v>0</v>
      </c>
      <c r="CT42" s="22">
        <v>10974.217</v>
      </c>
      <c r="CU42" s="33"/>
      <c r="CV42" s="22">
        <v>25740</v>
      </c>
      <c r="CW42" s="33"/>
      <c r="CX42" s="142">
        <v>0</v>
      </c>
      <c r="CZ42" s="142">
        <v>0</v>
      </c>
      <c r="DA42" s="116"/>
      <c r="DB42" s="142">
        <v>0</v>
      </c>
      <c r="DC42" s="116"/>
      <c r="DD42" s="220">
        <v>0</v>
      </c>
      <c r="DE42" s="116"/>
      <c r="DF42" s="220">
        <v>3668.685</v>
      </c>
      <c r="DG42" s="33"/>
      <c r="DH42" s="22">
        <v>0</v>
      </c>
    </row>
    <row r="43" spans="1:112" ht="12.75" hidden="1">
      <c r="A43" s="61" t="s">
        <v>46</v>
      </c>
      <c r="B43" s="117">
        <v>17449</v>
      </c>
      <c r="C43" s="117">
        <v>1747</v>
      </c>
      <c r="D43" s="20">
        <v>0</v>
      </c>
      <c r="E43" s="20">
        <v>0</v>
      </c>
      <c r="F43" s="33"/>
      <c r="G43" s="20">
        <v>1122</v>
      </c>
      <c r="H43" s="20"/>
      <c r="I43" s="33"/>
      <c r="J43" s="20">
        <v>0</v>
      </c>
      <c r="K43" s="20">
        <v>0</v>
      </c>
      <c r="L43" s="20">
        <v>6122.278</v>
      </c>
      <c r="M43" s="33"/>
      <c r="N43" s="117">
        <v>10781.825</v>
      </c>
      <c r="O43" s="116"/>
      <c r="P43" s="117">
        <v>30862</v>
      </c>
      <c r="Q43" s="117"/>
      <c r="R43" s="117">
        <v>13629.7</v>
      </c>
      <c r="S43" s="33"/>
      <c r="T43" s="33">
        <v>0</v>
      </c>
      <c r="U43" s="33">
        <v>0</v>
      </c>
      <c r="V43" s="33">
        <f t="shared" si="0"/>
        <v>0</v>
      </c>
      <c r="W43" s="33"/>
      <c r="X43" s="20"/>
      <c r="Y43" s="20"/>
      <c r="Z43" s="20"/>
      <c r="AA43" s="20"/>
      <c r="AB43" s="20"/>
      <c r="AC43" s="33"/>
      <c r="AD43" s="33"/>
      <c r="AE43" s="20">
        <v>3954.336</v>
      </c>
      <c r="AF43" s="20">
        <v>19796</v>
      </c>
      <c r="AG43" s="20">
        <v>0</v>
      </c>
      <c r="AH43" s="20">
        <v>218.235</v>
      </c>
      <c r="AI43" s="20">
        <v>0</v>
      </c>
      <c r="AJ43" s="20">
        <v>40.43</v>
      </c>
      <c r="AK43" s="20">
        <v>270.905</v>
      </c>
      <c r="AL43" s="20">
        <v>24.362</v>
      </c>
      <c r="AM43" s="20">
        <v>0</v>
      </c>
      <c r="AN43" s="20">
        <v>0</v>
      </c>
      <c r="AO43" s="20">
        <v>0</v>
      </c>
      <c r="AP43" s="20">
        <v>0</v>
      </c>
      <c r="AQ43" s="20">
        <v>451.452</v>
      </c>
      <c r="AR43" s="20"/>
      <c r="AS43" s="20"/>
      <c r="AT43" s="20">
        <v>0</v>
      </c>
      <c r="AU43" s="33"/>
      <c r="AV43" s="20"/>
      <c r="AW43" s="20">
        <v>0</v>
      </c>
      <c r="AX43" s="20">
        <v>0</v>
      </c>
      <c r="AY43" s="20"/>
      <c r="AZ43" s="20">
        <f>SUM('[2]project'!AU43,'[2]project'!AZ43)</f>
        <v>53707.85799999999</v>
      </c>
      <c r="BA43" s="33"/>
      <c r="BB43" s="20">
        <v>7296.382</v>
      </c>
      <c r="BC43" s="20">
        <f>500+500</f>
        <v>1000</v>
      </c>
      <c r="BD43" s="20">
        <v>79295</v>
      </c>
      <c r="BE43" s="20"/>
      <c r="BF43" s="20">
        <v>774.696</v>
      </c>
      <c r="BG43" s="20">
        <v>78</v>
      </c>
      <c r="BH43" s="20">
        <v>0</v>
      </c>
      <c r="BI43" s="20">
        <v>0</v>
      </c>
      <c r="BJ43" s="20">
        <v>0</v>
      </c>
      <c r="BK43" s="20">
        <v>0</v>
      </c>
      <c r="BL43" s="20">
        <v>0</v>
      </c>
      <c r="BM43" s="20">
        <v>2640.0420000000004</v>
      </c>
      <c r="BN43" s="20">
        <v>0</v>
      </c>
      <c r="BO43" s="20"/>
      <c r="BP43" s="20">
        <f>668+618+513</f>
        <v>1799</v>
      </c>
      <c r="BQ43" s="20"/>
      <c r="BR43" s="20">
        <v>10000</v>
      </c>
      <c r="BS43" s="20"/>
      <c r="BT43" s="20"/>
      <c r="BU43" s="20"/>
      <c r="BV43" s="20">
        <v>0</v>
      </c>
      <c r="BW43" s="20">
        <f>2960+1000+1000+150.319</f>
        <v>5110.319</v>
      </c>
      <c r="BX43" s="20"/>
      <c r="BY43" s="20">
        <f>(3720/4)+1080+5000</f>
        <v>7010</v>
      </c>
      <c r="BZ43" s="20">
        <v>1800</v>
      </c>
      <c r="CA43" s="20">
        <v>4240</v>
      </c>
      <c r="CB43" s="20"/>
      <c r="CC43" s="20">
        <v>7195.544</v>
      </c>
      <c r="CD43" s="20">
        <v>1396.83</v>
      </c>
      <c r="CE43" s="20">
        <v>253.38</v>
      </c>
      <c r="CF43" s="33"/>
      <c r="CG43" s="20">
        <v>0</v>
      </c>
      <c r="CH43" s="20"/>
      <c r="CI43" s="20">
        <v>1253.864</v>
      </c>
      <c r="CJ43" s="33"/>
      <c r="CK43" s="20"/>
      <c r="CL43" s="33"/>
      <c r="CM43" s="20">
        <v>67201.906</v>
      </c>
      <c r="CN43" s="33"/>
      <c r="CO43" s="20">
        <v>17511.403</v>
      </c>
      <c r="CP43" s="33"/>
      <c r="CQ43" s="20">
        <v>800</v>
      </c>
      <c r="CR43" s="20">
        <v>2257</v>
      </c>
      <c r="CS43" s="20">
        <v>0</v>
      </c>
      <c r="CT43" s="20">
        <v>29219.45</v>
      </c>
      <c r="CU43" s="33"/>
      <c r="CV43" s="20">
        <v>267112</v>
      </c>
      <c r="CW43" s="33"/>
      <c r="CX43" s="162">
        <f>15062+25632+53145+36372+21460</f>
        <v>151671</v>
      </c>
      <c r="CZ43" s="145">
        <v>0</v>
      </c>
      <c r="DA43" s="33"/>
      <c r="DB43" s="33">
        <v>20000</v>
      </c>
      <c r="DC43" s="33"/>
      <c r="DD43" s="33">
        <v>0</v>
      </c>
      <c r="DE43" s="33"/>
      <c r="DF43" s="20">
        <v>21250</v>
      </c>
      <c r="DG43" s="33"/>
      <c r="DH43" s="20">
        <v>451</v>
      </c>
    </row>
    <row r="44" spans="1:112" ht="12.75" hidden="1">
      <c r="A44" s="61" t="s">
        <v>47</v>
      </c>
      <c r="B44" s="117">
        <v>592</v>
      </c>
      <c r="C44" s="117">
        <v>961</v>
      </c>
      <c r="D44" s="20">
        <v>0</v>
      </c>
      <c r="E44" s="20">
        <v>0</v>
      </c>
      <c r="F44" s="33"/>
      <c r="G44" s="20">
        <v>0</v>
      </c>
      <c r="H44" s="20"/>
      <c r="I44" s="33"/>
      <c r="J44" s="20">
        <v>14015</v>
      </c>
      <c r="K44" s="20">
        <v>3164</v>
      </c>
      <c r="L44" s="20">
        <v>2810.52</v>
      </c>
      <c r="M44" s="33"/>
      <c r="N44" s="117">
        <v>1347.056</v>
      </c>
      <c r="O44" s="116"/>
      <c r="P44" s="117">
        <v>42611.49</v>
      </c>
      <c r="Q44" s="117"/>
      <c r="R44" s="117">
        <v>0</v>
      </c>
      <c r="S44" s="33"/>
      <c r="T44" s="33">
        <v>0</v>
      </c>
      <c r="U44" s="33">
        <v>0</v>
      </c>
      <c r="V44" s="33">
        <f t="shared" si="0"/>
        <v>0</v>
      </c>
      <c r="W44" s="33"/>
      <c r="X44" s="20"/>
      <c r="Y44" s="20"/>
      <c r="Z44" s="20"/>
      <c r="AA44" s="20"/>
      <c r="AB44" s="20"/>
      <c r="AC44" s="33"/>
      <c r="AD44" s="33"/>
      <c r="AE44" s="20">
        <v>1696.473</v>
      </c>
      <c r="AF44" s="20">
        <v>8404</v>
      </c>
      <c r="AG44" s="20">
        <v>0</v>
      </c>
      <c r="AH44" s="20">
        <v>159.376</v>
      </c>
      <c r="AI44" s="20">
        <v>0</v>
      </c>
      <c r="AJ44" s="20">
        <v>36.256</v>
      </c>
      <c r="AK44" s="20">
        <v>81.483</v>
      </c>
      <c r="AL44" s="20">
        <v>0</v>
      </c>
      <c r="AM44" s="20">
        <v>0</v>
      </c>
      <c r="AN44" s="20">
        <v>0</v>
      </c>
      <c r="AO44" s="20">
        <v>0</v>
      </c>
      <c r="AP44" s="20">
        <v>0</v>
      </c>
      <c r="AQ44" s="20">
        <v>0</v>
      </c>
      <c r="AR44" s="20"/>
      <c r="AS44" s="20"/>
      <c r="AT44" s="20">
        <v>0</v>
      </c>
      <c r="AU44" s="33"/>
      <c r="AV44" s="20"/>
      <c r="AW44" s="20">
        <v>19746</v>
      </c>
      <c r="AX44" s="20">
        <f>600+600+539</f>
        <v>1739</v>
      </c>
      <c r="AY44" s="20"/>
      <c r="AZ44" s="20">
        <f>SUM('[2]project'!AU44,'[2]project'!AZ44)</f>
        <v>11546</v>
      </c>
      <c r="BA44" s="33"/>
      <c r="BB44" s="20">
        <v>983.7800000000001</v>
      </c>
      <c r="BC44" s="20">
        <v>0</v>
      </c>
      <c r="BD44" s="20">
        <v>5110</v>
      </c>
      <c r="BE44" s="20"/>
      <c r="BF44" s="20">
        <v>975.596</v>
      </c>
      <c r="BG44" s="20">
        <v>0</v>
      </c>
      <c r="BH44" s="20">
        <v>0</v>
      </c>
      <c r="BI44" s="20">
        <v>156</v>
      </c>
      <c r="BJ44" s="20">
        <f>510+899.999+899.999+687.312+440.2</f>
        <v>3437.5099999999998</v>
      </c>
      <c r="BK44" s="20">
        <v>0</v>
      </c>
      <c r="BL44" s="20">
        <v>0</v>
      </c>
      <c r="BM44" s="20">
        <v>0</v>
      </c>
      <c r="BN44" s="20">
        <v>0</v>
      </c>
      <c r="BO44" s="20"/>
      <c r="BP44" s="20">
        <f>582+700</f>
        <v>1282</v>
      </c>
      <c r="BQ44" s="20"/>
      <c r="BR44" s="20">
        <v>0</v>
      </c>
      <c r="BS44" s="20"/>
      <c r="BT44" s="20"/>
      <c r="BU44" s="20"/>
      <c r="BV44" s="20">
        <v>0</v>
      </c>
      <c r="BW44" s="20">
        <f>2200+843+350+1400</f>
        <v>4793</v>
      </c>
      <c r="BX44" s="20"/>
      <c r="BY44" s="20">
        <v>1850</v>
      </c>
      <c r="BZ44" s="20">
        <v>600</v>
      </c>
      <c r="CA44" s="20">
        <v>2855.58</v>
      </c>
      <c r="CB44" s="20"/>
      <c r="CC44" s="20">
        <v>0</v>
      </c>
      <c r="CD44" s="20">
        <v>0</v>
      </c>
      <c r="CE44" s="20">
        <v>14.42</v>
      </c>
      <c r="CF44" s="33"/>
      <c r="CG44" s="20">
        <v>0</v>
      </c>
      <c r="CH44" s="20"/>
      <c r="CI44" s="20">
        <v>534.197</v>
      </c>
      <c r="CJ44" s="33"/>
      <c r="CK44" s="20"/>
      <c r="CL44" s="33"/>
      <c r="CM44" s="20">
        <v>130000</v>
      </c>
      <c r="CN44" s="33"/>
      <c r="CO44" s="20">
        <v>3000</v>
      </c>
      <c r="CP44" s="33"/>
      <c r="CQ44" s="20">
        <v>0</v>
      </c>
      <c r="CR44" s="20">
        <v>0</v>
      </c>
      <c r="CS44" s="20">
        <v>0</v>
      </c>
      <c r="CT44" s="20">
        <v>16400</v>
      </c>
      <c r="CU44" s="33"/>
      <c r="CV44" s="20">
        <v>87018</v>
      </c>
      <c r="CW44" s="33"/>
      <c r="CX44" s="162">
        <f>17844+14327</f>
        <v>32171</v>
      </c>
      <c r="CZ44" s="145">
        <v>0</v>
      </c>
      <c r="DA44" s="33"/>
      <c r="DB44" s="145">
        <v>0</v>
      </c>
      <c r="DC44" s="33"/>
      <c r="DD44" s="33">
        <v>0</v>
      </c>
      <c r="DE44" s="33"/>
      <c r="DF44" s="20">
        <v>25000</v>
      </c>
      <c r="DG44" s="33"/>
      <c r="DH44" s="20">
        <v>79</v>
      </c>
    </row>
    <row r="45" spans="1:112" ht="12.75" hidden="1">
      <c r="A45" s="61" t="s">
        <v>48</v>
      </c>
      <c r="B45" s="117">
        <v>1015</v>
      </c>
      <c r="C45" s="117">
        <v>5508.5</v>
      </c>
      <c r="D45" s="20">
        <v>30958</v>
      </c>
      <c r="E45" s="20">
        <v>5855</v>
      </c>
      <c r="F45" s="33"/>
      <c r="G45" s="20">
        <v>18911</v>
      </c>
      <c r="H45" s="20"/>
      <c r="I45" s="33"/>
      <c r="J45" s="20">
        <v>0</v>
      </c>
      <c r="K45" s="20">
        <v>0</v>
      </c>
      <c r="L45" s="20">
        <v>3035.826</v>
      </c>
      <c r="M45" s="33"/>
      <c r="N45" s="117">
        <v>162.692</v>
      </c>
      <c r="O45" s="116"/>
      <c r="P45" s="117">
        <v>24580</v>
      </c>
      <c r="Q45" s="117"/>
      <c r="R45" s="117">
        <v>0</v>
      </c>
      <c r="S45" s="33"/>
      <c r="T45" s="33">
        <v>167.85</v>
      </c>
      <c r="U45" s="33">
        <v>0</v>
      </c>
      <c r="V45" s="33">
        <f t="shared" si="0"/>
        <v>167.85</v>
      </c>
      <c r="W45" s="33"/>
      <c r="X45" s="20"/>
      <c r="Y45" s="20"/>
      <c r="Z45" s="20"/>
      <c r="AA45" s="20"/>
      <c r="AB45" s="20"/>
      <c r="AC45" s="33"/>
      <c r="AD45" s="33"/>
      <c r="AE45" s="20">
        <v>1126.881</v>
      </c>
      <c r="AF45" s="20">
        <v>5724</v>
      </c>
      <c r="AG45" s="20">
        <v>53.5</v>
      </c>
      <c r="AH45" s="20">
        <v>297.442</v>
      </c>
      <c r="AI45" s="20">
        <v>0</v>
      </c>
      <c r="AJ45" s="20">
        <v>36.01</v>
      </c>
      <c r="AK45" s="20">
        <v>150.992</v>
      </c>
      <c r="AL45" s="20">
        <v>0</v>
      </c>
      <c r="AM45" s="20">
        <v>0</v>
      </c>
      <c r="AN45" s="20">
        <v>0</v>
      </c>
      <c r="AO45" s="20">
        <v>1527.351</v>
      </c>
      <c r="AP45" s="20">
        <v>0</v>
      </c>
      <c r="AQ45" s="20">
        <v>250</v>
      </c>
      <c r="AR45" s="20"/>
      <c r="AS45" s="20"/>
      <c r="AT45" s="20">
        <f>1400+621.875</f>
        <v>2021.875</v>
      </c>
      <c r="AU45" s="33"/>
      <c r="AV45" s="20"/>
      <c r="AW45" s="20">
        <v>1999</v>
      </c>
      <c r="AX45" s="20">
        <v>600</v>
      </c>
      <c r="AY45" s="20"/>
      <c r="AZ45" s="20">
        <f>SUM('[2]project'!AU45,'[2]project'!AZ45)</f>
        <v>3610.97</v>
      </c>
      <c r="BA45" s="33"/>
      <c r="BB45" s="20">
        <v>3466.433</v>
      </c>
      <c r="BC45" s="20">
        <v>500</v>
      </c>
      <c r="BD45" s="20">
        <v>5150</v>
      </c>
      <c r="BE45" s="20"/>
      <c r="BF45" s="20">
        <v>1497.497</v>
      </c>
      <c r="BG45" s="20">
        <v>0</v>
      </c>
      <c r="BH45" s="20">
        <v>0</v>
      </c>
      <c r="BI45" s="20">
        <v>156</v>
      </c>
      <c r="BJ45" s="20">
        <v>0</v>
      </c>
      <c r="BK45" s="20">
        <v>0</v>
      </c>
      <c r="BL45" s="20">
        <v>0</v>
      </c>
      <c r="BM45" s="20">
        <v>2669.422</v>
      </c>
      <c r="BN45" s="20">
        <v>0</v>
      </c>
      <c r="BO45" s="20"/>
      <c r="BP45" s="20">
        <v>1400</v>
      </c>
      <c r="BQ45" s="20"/>
      <c r="BR45" s="20">
        <f>2048+578+1417+644+1413+3850</f>
        <v>9950</v>
      </c>
      <c r="BS45" s="20"/>
      <c r="BT45" s="20"/>
      <c r="BU45" s="20"/>
      <c r="BV45" s="20">
        <v>0</v>
      </c>
      <c r="BW45" s="20">
        <v>0</v>
      </c>
      <c r="BX45" s="20"/>
      <c r="BY45" s="20">
        <v>0</v>
      </c>
      <c r="BZ45" s="20">
        <v>0</v>
      </c>
      <c r="CA45" s="20">
        <v>614</v>
      </c>
      <c r="CB45" s="20"/>
      <c r="CC45" s="20">
        <v>764.225</v>
      </c>
      <c r="CD45" s="20">
        <v>0</v>
      </c>
      <c r="CE45" s="20">
        <v>0</v>
      </c>
      <c r="CF45" s="33"/>
      <c r="CG45" s="20">
        <f>47717.155+47092.555+46543.219</f>
        <v>141352.929</v>
      </c>
      <c r="CH45" s="20"/>
      <c r="CI45" s="20">
        <v>0</v>
      </c>
      <c r="CJ45" s="33"/>
      <c r="CK45" s="20"/>
      <c r="CL45" s="33"/>
      <c r="CM45" s="20">
        <v>29471.776</v>
      </c>
      <c r="CN45" s="33"/>
      <c r="CO45" s="20">
        <v>0</v>
      </c>
      <c r="CP45" s="33"/>
      <c r="CQ45" s="20">
        <v>3224.608</v>
      </c>
      <c r="CR45" s="20">
        <v>3750</v>
      </c>
      <c r="CS45" s="20">
        <f>32000+2940</f>
        <v>34940</v>
      </c>
      <c r="CT45" s="20">
        <v>12322.212</v>
      </c>
      <c r="CU45" s="33"/>
      <c r="CV45" s="20">
        <v>112886</v>
      </c>
      <c r="CW45" s="33"/>
      <c r="CX45" s="162">
        <v>0</v>
      </c>
      <c r="CZ45" s="145">
        <v>0</v>
      </c>
      <c r="DA45" s="33"/>
      <c r="DB45" s="33">
        <v>433</v>
      </c>
      <c r="DC45" s="33"/>
      <c r="DD45" s="33">
        <v>1058</v>
      </c>
      <c r="DE45" s="33"/>
      <c r="DF45" s="20">
        <v>13316.286</v>
      </c>
      <c r="DG45" s="33"/>
      <c r="DH45" s="20">
        <v>407</v>
      </c>
    </row>
    <row r="46" spans="1:112" ht="12.75" hidden="1">
      <c r="A46" s="61" t="s">
        <v>49</v>
      </c>
      <c r="B46" s="117">
        <v>14516</v>
      </c>
      <c r="C46" s="117">
        <v>1404</v>
      </c>
      <c r="D46" s="20">
        <v>0</v>
      </c>
      <c r="E46" s="20">
        <v>0</v>
      </c>
      <c r="F46" s="33"/>
      <c r="G46" s="20">
        <v>2154</v>
      </c>
      <c r="H46" s="20"/>
      <c r="I46" s="33"/>
      <c r="J46" s="20">
        <v>0</v>
      </c>
      <c r="K46" s="20">
        <v>11900</v>
      </c>
      <c r="L46" s="20">
        <v>1559.46</v>
      </c>
      <c r="M46" s="33"/>
      <c r="N46" s="117">
        <v>2232</v>
      </c>
      <c r="O46" s="116"/>
      <c r="P46" s="117">
        <v>80750.22</v>
      </c>
      <c r="Q46" s="117"/>
      <c r="R46" s="117">
        <v>0</v>
      </c>
      <c r="S46" s="33"/>
      <c r="T46" s="33">
        <v>462.264</v>
      </c>
      <c r="U46" s="33">
        <v>0</v>
      </c>
      <c r="V46" s="33">
        <f t="shared" si="0"/>
        <v>462.264</v>
      </c>
      <c r="W46" s="33"/>
      <c r="X46" s="20"/>
      <c r="Y46" s="20"/>
      <c r="Z46" s="20"/>
      <c r="AA46" s="20"/>
      <c r="AB46" s="20"/>
      <c r="AC46" s="33"/>
      <c r="AD46" s="33"/>
      <c r="AE46" s="20">
        <v>1922.5</v>
      </c>
      <c r="AF46" s="20">
        <v>17323</v>
      </c>
      <c r="AG46" s="20">
        <v>0</v>
      </c>
      <c r="AH46" s="20">
        <v>336.479</v>
      </c>
      <c r="AI46" s="20">
        <v>156</v>
      </c>
      <c r="AJ46" s="20">
        <v>42.555</v>
      </c>
      <c r="AK46" s="20">
        <v>888.726</v>
      </c>
      <c r="AL46" s="20">
        <v>63.791</v>
      </c>
      <c r="AM46" s="20">
        <v>0</v>
      </c>
      <c r="AN46" s="20">
        <v>0</v>
      </c>
      <c r="AO46" s="20">
        <v>0</v>
      </c>
      <c r="AP46" s="20">
        <v>0</v>
      </c>
      <c r="AQ46" s="20">
        <v>2499.333</v>
      </c>
      <c r="AR46" s="20"/>
      <c r="AS46" s="20"/>
      <c r="AT46" s="20">
        <v>1400.001</v>
      </c>
      <c r="AU46" s="33"/>
      <c r="AV46" s="20"/>
      <c r="AW46" s="20">
        <v>0</v>
      </c>
      <c r="AX46" s="20">
        <v>0</v>
      </c>
      <c r="AY46" s="20"/>
      <c r="AZ46" s="20">
        <f>SUM('[2]project'!AU46,'[2]project'!AZ46)</f>
        <v>55162.818999999996</v>
      </c>
      <c r="BA46" s="33"/>
      <c r="BB46" s="20">
        <v>1343.732</v>
      </c>
      <c r="BC46" s="20">
        <v>0</v>
      </c>
      <c r="BD46" s="20">
        <v>20164</v>
      </c>
      <c r="BE46" s="20"/>
      <c r="BF46" s="20">
        <v>1120.259</v>
      </c>
      <c r="BG46" s="20">
        <v>78</v>
      </c>
      <c r="BH46" s="20">
        <v>78</v>
      </c>
      <c r="BI46" s="20">
        <v>0</v>
      </c>
      <c r="BJ46" s="20">
        <v>0</v>
      </c>
      <c r="BK46" s="20">
        <v>0</v>
      </c>
      <c r="BL46" s="20">
        <v>0</v>
      </c>
      <c r="BM46" s="20">
        <v>114.52</v>
      </c>
      <c r="BN46" s="20">
        <v>0</v>
      </c>
      <c r="BO46" s="20"/>
      <c r="BP46" s="20">
        <f>503+697</f>
        <v>1200</v>
      </c>
      <c r="BQ46" s="20"/>
      <c r="BR46" s="20">
        <v>0</v>
      </c>
      <c r="BS46" s="20"/>
      <c r="BT46" s="20"/>
      <c r="BU46" s="20"/>
      <c r="BV46" s="20">
        <v>0</v>
      </c>
      <c r="BW46" s="20">
        <f>6000+900</f>
        <v>6900</v>
      </c>
      <c r="BX46" s="20"/>
      <c r="BY46" s="20">
        <f>3500+1500+(4320/3)</f>
        <v>6440</v>
      </c>
      <c r="BZ46" s="20">
        <v>2060</v>
      </c>
      <c r="CA46" s="20">
        <v>2100</v>
      </c>
      <c r="CB46" s="20"/>
      <c r="CC46" s="20">
        <v>3078.5550000000003</v>
      </c>
      <c r="CD46" s="20">
        <v>6543.87</v>
      </c>
      <c r="CE46" s="20">
        <v>4526.619</v>
      </c>
      <c r="CF46" s="33"/>
      <c r="CG46" s="20">
        <f>42204.562+59162.064</f>
        <v>101366.62599999999</v>
      </c>
      <c r="CH46" s="20"/>
      <c r="CI46" s="20">
        <v>1342.164</v>
      </c>
      <c r="CJ46" s="33"/>
      <c r="CK46" s="20"/>
      <c r="CL46" s="33"/>
      <c r="CM46" s="20">
        <v>233184.232</v>
      </c>
      <c r="CN46" s="33"/>
      <c r="CO46" s="20">
        <v>2466.708</v>
      </c>
      <c r="CP46" s="33"/>
      <c r="CQ46" s="20">
        <v>0</v>
      </c>
      <c r="CR46" s="20">
        <v>2450</v>
      </c>
      <c r="CS46" s="20">
        <v>0</v>
      </c>
      <c r="CT46" s="20">
        <v>26674.694</v>
      </c>
      <c r="CU46" s="33"/>
      <c r="CV46" s="20">
        <v>315737</v>
      </c>
      <c r="CW46" s="33"/>
      <c r="CX46" s="162">
        <v>146897</v>
      </c>
      <c r="CZ46" s="145">
        <v>0</v>
      </c>
      <c r="DA46" s="33"/>
      <c r="DB46" s="33">
        <v>7000</v>
      </c>
      <c r="DC46" s="33"/>
      <c r="DD46" s="33">
        <v>0</v>
      </c>
      <c r="DE46" s="33"/>
      <c r="DF46" s="20">
        <v>115642.385</v>
      </c>
      <c r="DG46" s="33"/>
      <c r="DH46" s="20">
        <v>1592</v>
      </c>
    </row>
    <row r="47" spans="1:112" ht="12.75" hidden="1">
      <c r="A47" s="10" t="s">
        <v>50</v>
      </c>
      <c r="B47" s="220">
        <v>0</v>
      </c>
      <c r="C47" s="220">
        <v>909</v>
      </c>
      <c r="D47" s="22">
        <v>0</v>
      </c>
      <c r="E47" s="22">
        <v>0</v>
      </c>
      <c r="F47" s="33"/>
      <c r="G47" s="22">
        <v>449</v>
      </c>
      <c r="H47" s="22"/>
      <c r="I47" s="33"/>
      <c r="J47" s="22">
        <v>0</v>
      </c>
      <c r="K47" s="22">
        <v>0</v>
      </c>
      <c r="L47" s="22">
        <v>2347.2</v>
      </c>
      <c r="M47" s="33"/>
      <c r="N47" s="220">
        <v>2473.8</v>
      </c>
      <c r="O47" s="116"/>
      <c r="P47" s="220">
        <v>681</v>
      </c>
      <c r="Q47" s="116"/>
      <c r="R47" s="220">
        <v>0</v>
      </c>
      <c r="S47" s="33"/>
      <c r="T47" s="22">
        <v>0</v>
      </c>
      <c r="U47" s="22">
        <v>0</v>
      </c>
      <c r="V47" s="22">
        <f t="shared" si="0"/>
        <v>0</v>
      </c>
      <c r="W47" s="33"/>
      <c r="X47" s="22"/>
      <c r="Y47" s="22"/>
      <c r="Z47" s="22"/>
      <c r="AA47" s="22"/>
      <c r="AB47" s="22"/>
      <c r="AC47" s="22"/>
      <c r="AD47" s="33"/>
      <c r="AE47" s="22">
        <v>163.243</v>
      </c>
      <c r="AF47" s="22">
        <v>1483</v>
      </c>
      <c r="AG47" s="22">
        <v>0</v>
      </c>
      <c r="AH47" s="22">
        <v>37.848</v>
      </c>
      <c r="AI47" s="22">
        <v>0</v>
      </c>
      <c r="AJ47" s="22">
        <v>0</v>
      </c>
      <c r="AK47" s="22">
        <v>26.155</v>
      </c>
      <c r="AL47" s="22">
        <v>0</v>
      </c>
      <c r="AM47" s="22">
        <v>0</v>
      </c>
      <c r="AN47" s="22">
        <v>0</v>
      </c>
      <c r="AO47" s="22">
        <v>0</v>
      </c>
      <c r="AP47" s="22">
        <v>0</v>
      </c>
      <c r="AQ47" s="22">
        <v>1000</v>
      </c>
      <c r="AR47" s="22"/>
      <c r="AS47" s="22"/>
      <c r="AT47" s="22">
        <v>746.25</v>
      </c>
      <c r="AU47" s="33"/>
      <c r="AV47" s="22"/>
      <c r="AW47" s="22">
        <v>0</v>
      </c>
      <c r="AX47" s="22">
        <v>0</v>
      </c>
      <c r="AY47" s="22"/>
      <c r="AZ47" s="22">
        <f>SUM('[2]project'!AU47,'[2]project'!AZ47)</f>
        <v>1819.115</v>
      </c>
      <c r="BA47" s="33"/>
      <c r="BB47" s="22">
        <v>0</v>
      </c>
      <c r="BC47" s="22">
        <v>0</v>
      </c>
      <c r="BD47" s="22">
        <v>6513</v>
      </c>
      <c r="BE47" s="22"/>
      <c r="BF47" s="22">
        <v>381.451</v>
      </c>
      <c r="BG47" s="22">
        <v>78</v>
      </c>
      <c r="BH47" s="22">
        <v>78</v>
      </c>
      <c r="BI47" s="22">
        <v>0</v>
      </c>
      <c r="BJ47" s="22">
        <v>0</v>
      </c>
      <c r="BK47" s="22">
        <v>0</v>
      </c>
      <c r="BL47" s="22">
        <v>0</v>
      </c>
      <c r="BM47" s="22">
        <v>0</v>
      </c>
      <c r="BN47" s="22">
        <v>0</v>
      </c>
      <c r="BO47" s="22"/>
      <c r="BP47" s="22">
        <v>692</v>
      </c>
      <c r="BQ47" s="22"/>
      <c r="BR47" s="22">
        <v>0</v>
      </c>
      <c r="BS47" s="22"/>
      <c r="BT47" s="22"/>
      <c r="BU47" s="22"/>
      <c r="BV47" s="22">
        <v>0</v>
      </c>
      <c r="BW47" s="22">
        <v>3888</v>
      </c>
      <c r="BX47" s="22"/>
      <c r="BY47" s="22">
        <f>(1150/6)+565.1</f>
        <v>756.7666666666667</v>
      </c>
      <c r="BZ47" s="22">
        <v>1200</v>
      </c>
      <c r="CA47" s="22">
        <v>0</v>
      </c>
      <c r="CB47" s="22"/>
      <c r="CC47" s="22">
        <v>0</v>
      </c>
      <c r="CD47" s="22">
        <v>0</v>
      </c>
      <c r="CE47" s="22">
        <v>840.459</v>
      </c>
      <c r="CF47" s="33"/>
      <c r="CG47" s="22">
        <v>0</v>
      </c>
      <c r="CH47" s="22"/>
      <c r="CI47" s="22">
        <v>296.413</v>
      </c>
      <c r="CJ47" s="33"/>
      <c r="CK47" s="22"/>
      <c r="CL47" s="33"/>
      <c r="CM47" s="22">
        <v>0</v>
      </c>
      <c r="CN47" s="33"/>
      <c r="CO47" s="22">
        <v>0</v>
      </c>
      <c r="CP47" s="33"/>
      <c r="CQ47" s="22">
        <v>0</v>
      </c>
      <c r="CR47" s="22">
        <v>345</v>
      </c>
      <c r="CS47" s="22">
        <v>0</v>
      </c>
      <c r="CT47" s="22">
        <v>6200</v>
      </c>
      <c r="CU47" s="33"/>
      <c r="CV47" s="22">
        <v>22062</v>
      </c>
      <c r="CW47" s="33"/>
      <c r="CX47" s="142">
        <v>22338</v>
      </c>
      <c r="CZ47" s="142">
        <v>0</v>
      </c>
      <c r="DA47" s="33"/>
      <c r="DB47" s="142">
        <v>0</v>
      </c>
      <c r="DC47" s="33"/>
      <c r="DD47" s="22">
        <v>0</v>
      </c>
      <c r="DE47" s="33"/>
      <c r="DF47" s="22">
        <v>36891.061</v>
      </c>
      <c r="DG47" s="33"/>
      <c r="DH47" s="22">
        <v>1150</v>
      </c>
    </row>
    <row r="48" spans="1:112" ht="12.75" hidden="1">
      <c r="A48" s="61" t="s">
        <v>51</v>
      </c>
      <c r="B48" s="117">
        <v>261</v>
      </c>
      <c r="C48" s="117">
        <v>3849</v>
      </c>
      <c r="D48" s="20">
        <v>0</v>
      </c>
      <c r="E48" s="20">
        <v>0</v>
      </c>
      <c r="F48" s="33"/>
      <c r="G48" s="20">
        <v>897</v>
      </c>
      <c r="H48" s="20"/>
      <c r="I48" s="33"/>
      <c r="J48" s="20">
        <v>0</v>
      </c>
      <c r="K48" s="20">
        <v>1040</v>
      </c>
      <c r="L48" s="20">
        <v>559.5</v>
      </c>
      <c r="M48" s="33"/>
      <c r="N48" s="117">
        <v>3427.7</v>
      </c>
      <c r="O48" s="116"/>
      <c r="P48" s="117">
        <v>71070.3</v>
      </c>
      <c r="Q48" s="117"/>
      <c r="R48" s="117">
        <v>3000</v>
      </c>
      <c r="S48" s="33"/>
      <c r="T48" s="33">
        <v>0</v>
      </c>
      <c r="U48" s="33">
        <v>0</v>
      </c>
      <c r="V48" s="33">
        <f t="shared" si="0"/>
        <v>0</v>
      </c>
      <c r="W48" s="33"/>
      <c r="X48" s="20"/>
      <c r="Y48" s="20"/>
      <c r="Z48" s="20"/>
      <c r="AA48" s="20"/>
      <c r="AB48" s="20"/>
      <c r="AC48" s="33"/>
      <c r="AD48" s="33"/>
      <c r="AE48" s="20">
        <v>1833.503</v>
      </c>
      <c r="AF48" s="20">
        <v>9150</v>
      </c>
      <c r="AG48" s="20">
        <v>0</v>
      </c>
      <c r="AH48" s="20">
        <v>107.312</v>
      </c>
      <c r="AI48" s="20">
        <v>0</v>
      </c>
      <c r="AJ48" s="20">
        <v>33.715</v>
      </c>
      <c r="AK48" s="20">
        <v>8.048</v>
      </c>
      <c r="AL48" s="20">
        <v>75.971</v>
      </c>
      <c r="AM48" s="20">
        <v>0</v>
      </c>
      <c r="AN48" s="20">
        <v>0</v>
      </c>
      <c r="AO48" s="20">
        <v>0</v>
      </c>
      <c r="AP48" s="20">
        <v>0</v>
      </c>
      <c r="AQ48" s="20">
        <v>200.487</v>
      </c>
      <c r="AR48" s="20"/>
      <c r="AS48" s="20"/>
      <c r="AT48" s="20">
        <v>0</v>
      </c>
      <c r="AU48" s="33"/>
      <c r="AV48" s="20"/>
      <c r="AW48" s="20">
        <v>0</v>
      </c>
      <c r="AX48" s="20">
        <v>0</v>
      </c>
      <c r="AY48" s="20"/>
      <c r="AZ48" s="20">
        <f>SUM('[2]project'!AU48,'[2]project'!AZ48)</f>
        <v>13691.504</v>
      </c>
      <c r="BA48" s="33"/>
      <c r="BB48" s="20">
        <v>947.999</v>
      </c>
      <c r="BC48" s="20">
        <v>486.169</v>
      </c>
      <c r="BD48" s="20">
        <v>20754</v>
      </c>
      <c r="BE48" s="20"/>
      <c r="BF48" s="20">
        <v>499.974</v>
      </c>
      <c r="BG48" s="20">
        <v>0</v>
      </c>
      <c r="BH48" s="20">
        <v>0</v>
      </c>
      <c r="BI48" s="20">
        <v>156</v>
      </c>
      <c r="BJ48" s="20">
        <v>0</v>
      </c>
      <c r="BK48" s="20">
        <v>0</v>
      </c>
      <c r="BL48" s="20">
        <v>0</v>
      </c>
      <c r="BM48" s="20">
        <v>0</v>
      </c>
      <c r="BN48" s="20">
        <v>0</v>
      </c>
      <c r="BO48" s="20"/>
      <c r="BP48" s="20">
        <v>699</v>
      </c>
      <c r="BQ48" s="20"/>
      <c r="BR48" s="20">
        <v>0</v>
      </c>
      <c r="BS48" s="20"/>
      <c r="BT48" s="20"/>
      <c r="BU48" s="20"/>
      <c r="BV48" s="20">
        <v>0</v>
      </c>
      <c r="BW48" s="20">
        <f>450+1500+2500</f>
        <v>4450</v>
      </c>
      <c r="BX48" s="20"/>
      <c r="BY48" s="20">
        <f>553.918+2000+(1200/8)</f>
        <v>2703.918</v>
      </c>
      <c r="BZ48" s="20">
        <v>1600</v>
      </c>
      <c r="CA48" s="20">
        <v>1850</v>
      </c>
      <c r="CB48" s="20"/>
      <c r="CC48" s="20">
        <v>5167.174999999999</v>
      </c>
      <c r="CD48" s="20">
        <v>0</v>
      </c>
      <c r="CE48" s="20">
        <v>1190.655</v>
      </c>
      <c r="CF48" s="33"/>
      <c r="CG48" s="20">
        <v>0</v>
      </c>
      <c r="CH48" s="20"/>
      <c r="CI48" s="20">
        <v>611.034</v>
      </c>
      <c r="CJ48" s="33"/>
      <c r="CK48" s="20"/>
      <c r="CL48" s="33"/>
      <c r="CM48" s="20">
        <v>0</v>
      </c>
      <c r="CN48" s="33"/>
      <c r="CO48" s="20">
        <v>0</v>
      </c>
      <c r="CP48" s="33"/>
      <c r="CQ48" s="20">
        <v>0</v>
      </c>
      <c r="CR48" s="20">
        <v>0</v>
      </c>
      <c r="CS48" s="20">
        <v>0</v>
      </c>
      <c r="CT48" s="20">
        <v>11308.823</v>
      </c>
      <c r="CU48" s="33"/>
      <c r="CV48" s="20">
        <v>131364</v>
      </c>
      <c r="CW48" s="33"/>
      <c r="CX48" s="162">
        <f>13517+15060</f>
        <v>28577</v>
      </c>
      <c r="CZ48" s="145">
        <v>0</v>
      </c>
      <c r="DA48" s="33"/>
      <c r="DB48" s="145">
        <v>0</v>
      </c>
      <c r="DC48" s="33"/>
      <c r="DD48" s="33">
        <v>2000</v>
      </c>
      <c r="DE48" s="33"/>
      <c r="DF48" s="20">
        <v>118019.335</v>
      </c>
      <c r="DG48" s="33"/>
      <c r="DH48" s="20">
        <v>0</v>
      </c>
    </row>
    <row r="49" spans="1:112" ht="12.75" hidden="1">
      <c r="A49" s="61" t="s">
        <v>52</v>
      </c>
      <c r="B49" s="117">
        <v>8990</v>
      </c>
      <c r="C49" s="117">
        <v>876</v>
      </c>
      <c r="D49" s="20">
        <v>354</v>
      </c>
      <c r="E49" s="20">
        <v>43333.33333333333</v>
      </c>
      <c r="F49" s="33"/>
      <c r="G49" s="20">
        <v>0</v>
      </c>
      <c r="H49" s="20"/>
      <c r="I49" s="33"/>
      <c r="J49" s="20">
        <v>0</v>
      </c>
      <c r="K49" s="20">
        <v>0</v>
      </c>
      <c r="L49" s="20">
        <v>1904.514</v>
      </c>
      <c r="M49" s="33"/>
      <c r="N49" s="117">
        <v>1591.13</v>
      </c>
      <c r="O49" s="116"/>
      <c r="P49" s="117">
        <v>41787.3</v>
      </c>
      <c r="Q49" s="117"/>
      <c r="R49" s="117">
        <v>0</v>
      </c>
      <c r="S49" s="33"/>
      <c r="T49" s="33">
        <v>0</v>
      </c>
      <c r="U49" s="33">
        <v>0</v>
      </c>
      <c r="V49" s="33">
        <f t="shared" si="0"/>
        <v>0</v>
      </c>
      <c r="W49" s="33"/>
      <c r="X49" s="20"/>
      <c r="Y49" s="20"/>
      <c r="Z49" s="20"/>
      <c r="AA49" s="20"/>
      <c r="AB49" s="20"/>
      <c r="AC49" s="33"/>
      <c r="AD49" s="33"/>
      <c r="AE49" s="20">
        <v>163.379</v>
      </c>
      <c r="AF49" s="20">
        <v>1412</v>
      </c>
      <c r="AG49" s="20">
        <v>0</v>
      </c>
      <c r="AH49" s="20">
        <v>3.179</v>
      </c>
      <c r="AI49" s="20">
        <v>0</v>
      </c>
      <c r="AJ49" s="20">
        <v>0</v>
      </c>
      <c r="AK49" s="20">
        <v>51.137</v>
      </c>
      <c r="AL49" s="20">
        <v>0</v>
      </c>
      <c r="AM49" s="20">
        <v>0</v>
      </c>
      <c r="AN49" s="20">
        <v>0</v>
      </c>
      <c r="AO49" s="20">
        <v>0</v>
      </c>
      <c r="AP49" s="20">
        <v>0</v>
      </c>
      <c r="AQ49" s="20">
        <v>999.932</v>
      </c>
      <c r="AR49" s="20"/>
      <c r="AS49" s="20"/>
      <c r="AT49" s="20">
        <v>0</v>
      </c>
      <c r="AU49" s="33"/>
      <c r="AV49" s="20"/>
      <c r="AW49" s="20">
        <v>8000</v>
      </c>
      <c r="AX49" s="20">
        <v>0</v>
      </c>
      <c r="AY49" s="20"/>
      <c r="AZ49" s="20">
        <f>SUM('[2]project'!AU49,'[2]project'!AZ49)</f>
        <v>0</v>
      </c>
      <c r="BA49" s="33"/>
      <c r="BB49" s="20">
        <v>0</v>
      </c>
      <c r="BC49" s="20">
        <v>499.908</v>
      </c>
      <c r="BD49" s="20">
        <v>5103</v>
      </c>
      <c r="BE49" s="20"/>
      <c r="BF49" s="20">
        <v>500</v>
      </c>
      <c r="BG49" s="20">
        <v>0</v>
      </c>
      <c r="BH49" s="20">
        <v>0</v>
      </c>
      <c r="BI49" s="20">
        <v>156</v>
      </c>
      <c r="BJ49" s="20">
        <v>0</v>
      </c>
      <c r="BK49" s="20">
        <f>215.35+329</f>
        <v>544.35</v>
      </c>
      <c r="BL49" s="20">
        <v>30800</v>
      </c>
      <c r="BM49" s="20">
        <v>0</v>
      </c>
      <c r="BN49" s="20">
        <v>0</v>
      </c>
      <c r="BO49" s="20"/>
      <c r="BP49" s="20">
        <v>0</v>
      </c>
      <c r="BQ49" s="20"/>
      <c r="BR49" s="20">
        <v>0</v>
      </c>
      <c r="BS49" s="20"/>
      <c r="BT49" s="20"/>
      <c r="BU49" s="20"/>
      <c r="BV49" s="20">
        <v>0</v>
      </c>
      <c r="BW49" s="20">
        <v>759.5</v>
      </c>
      <c r="BX49" s="20"/>
      <c r="BY49" s="20">
        <f>(850/6)+500</f>
        <v>641.6666666666666</v>
      </c>
      <c r="BZ49" s="20">
        <v>200</v>
      </c>
      <c r="CA49" s="20">
        <v>0</v>
      </c>
      <c r="CB49" s="20"/>
      <c r="CC49" s="20">
        <v>0</v>
      </c>
      <c r="CD49" s="20">
        <v>0</v>
      </c>
      <c r="CE49" s="20">
        <v>0</v>
      </c>
      <c r="CF49" s="33"/>
      <c r="CG49" s="20">
        <v>0</v>
      </c>
      <c r="CH49" s="20"/>
      <c r="CI49" s="20">
        <v>0</v>
      </c>
      <c r="CJ49" s="33"/>
      <c r="CK49" s="20"/>
      <c r="CL49" s="33"/>
      <c r="CM49" s="20">
        <v>9608.97</v>
      </c>
      <c r="CN49" s="33"/>
      <c r="CO49" s="20">
        <v>0</v>
      </c>
      <c r="CP49" s="33"/>
      <c r="CQ49" s="20">
        <v>0</v>
      </c>
      <c r="CR49" s="20">
        <v>0</v>
      </c>
      <c r="CS49" s="20">
        <v>0</v>
      </c>
      <c r="CT49" s="20">
        <v>13199.968</v>
      </c>
      <c r="CU49" s="33"/>
      <c r="CV49" s="20">
        <v>29784</v>
      </c>
      <c r="CW49" s="33"/>
      <c r="CX49" s="162">
        <v>0</v>
      </c>
      <c r="CZ49" s="145">
        <v>0</v>
      </c>
      <c r="DA49" s="33"/>
      <c r="DB49" s="145">
        <v>0</v>
      </c>
      <c r="DC49" s="33"/>
      <c r="DD49" s="33">
        <v>0</v>
      </c>
      <c r="DE49" s="33"/>
      <c r="DF49" s="20">
        <v>7756.896</v>
      </c>
      <c r="DG49" s="33"/>
      <c r="DH49" s="20">
        <v>0</v>
      </c>
    </row>
    <row r="50" spans="1:112" ht="12.75" hidden="1">
      <c r="A50" s="61" t="s">
        <v>53</v>
      </c>
      <c r="B50" s="117">
        <v>10280</v>
      </c>
      <c r="C50" s="117">
        <v>12792.952</v>
      </c>
      <c r="D50" s="20">
        <v>0</v>
      </c>
      <c r="E50" s="20">
        <v>0</v>
      </c>
      <c r="F50" s="33"/>
      <c r="G50" s="20">
        <v>160</v>
      </c>
      <c r="H50" s="20"/>
      <c r="I50" s="33"/>
      <c r="J50" s="20">
        <v>0</v>
      </c>
      <c r="K50" s="20">
        <v>12400</v>
      </c>
      <c r="L50" s="20">
        <v>1751.895</v>
      </c>
      <c r="M50" s="33"/>
      <c r="N50" s="117">
        <v>12303.2</v>
      </c>
      <c r="O50" s="116"/>
      <c r="P50" s="117">
        <v>19144.75</v>
      </c>
      <c r="Q50" s="117"/>
      <c r="R50" s="117">
        <v>0</v>
      </c>
      <c r="S50" s="33"/>
      <c r="T50" s="33">
        <v>0</v>
      </c>
      <c r="U50" s="33">
        <v>0</v>
      </c>
      <c r="V50" s="33">
        <f t="shared" si="0"/>
        <v>0</v>
      </c>
      <c r="W50" s="33"/>
      <c r="X50" s="20"/>
      <c r="Y50" s="20"/>
      <c r="Z50" s="20"/>
      <c r="AA50" s="20"/>
      <c r="AB50" s="20"/>
      <c r="AC50" s="33"/>
      <c r="AD50" s="33"/>
      <c r="AE50" s="20">
        <v>2538.196</v>
      </c>
      <c r="AF50" s="20">
        <v>12553</v>
      </c>
      <c r="AG50" s="20">
        <v>0</v>
      </c>
      <c r="AH50" s="20">
        <v>577.108</v>
      </c>
      <c r="AI50" s="20">
        <v>0</v>
      </c>
      <c r="AJ50" s="20">
        <v>45.955</v>
      </c>
      <c r="AK50" s="20">
        <v>477.419</v>
      </c>
      <c r="AL50" s="20">
        <v>0</v>
      </c>
      <c r="AM50" s="20">
        <v>0</v>
      </c>
      <c r="AN50" s="20">
        <v>0</v>
      </c>
      <c r="AO50" s="20">
        <v>0</v>
      </c>
      <c r="AP50" s="20">
        <v>0</v>
      </c>
      <c r="AQ50" s="20">
        <v>1000</v>
      </c>
      <c r="AR50" s="20"/>
      <c r="AS50" s="20"/>
      <c r="AT50" s="20">
        <v>0</v>
      </c>
      <c r="AU50" s="33"/>
      <c r="AV50" s="20"/>
      <c r="AW50" s="20">
        <v>0</v>
      </c>
      <c r="AX50" s="20">
        <v>0</v>
      </c>
      <c r="AY50" s="20"/>
      <c r="AZ50" s="20">
        <f>SUM('[2]project'!AU50,'[2]project'!AZ50)</f>
        <v>24828.99</v>
      </c>
      <c r="BA50" s="33"/>
      <c r="BB50" s="20">
        <v>0</v>
      </c>
      <c r="BC50" s="20">
        <v>500</v>
      </c>
      <c r="BD50" s="20">
        <v>21522</v>
      </c>
      <c r="BE50" s="20"/>
      <c r="BF50" s="20">
        <v>500</v>
      </c>
      <c r="BG50" s="20">
        <v>0</v>
      </c>
      <c r="BH50" s="20">
        <v>0</v>
      </c>
      <c r="BI50" s="20">
        <v>156</v>
      </c>
      <c r="BJ50" s="20">
        <v>0</v>
      </c>
      <c r="BK50" s="20">
        <v>0</v>
      </c>
      <c r="BL50" s="20">
        <v>0</v>
      </c>
      <c r="BM50" s="20">
        <v>2261.4880000000003</v>
      </c>
      <c r="BN50" s="20">
        <v>0</v>
      </c>
      <c r="BO50" s="20"/>
      <c r="BP50" s="20">
        <f>662+445</f>
        <v>1107</v>
      </c>
      <c r="BQ50" s="20"/>
      <c r="BR50" s="20">
        <v>0</v>
      </c>
      <c r="BS50" s="20"/>
      <c r="BT50" s="20"/>
      <c r="BU50" s="20"/>
      <c r="BV50" s="20">
        <v>0</v>
      </c>
      <c r="BW50" s="20">
        <f>2500+500+1500+3000</f>
        <v>7500</v>
      </c>
      <c r="BX50" s="20"/>
      <c r="BY50" s="20">
        <f>(1200/8)+581.849+2000</f>
        <v>2731.849</v>
      </c>
      <c r="BZ50" s="20">
        <v>0</v>
      </c>
      <c r="CA50" s="20">
        <v>0</v>
      </c>
      <c r="CB50" s="20"/>
      <c r="CC50" s="20">
        <v>4421.3730000000005</v>
      </c>
      <c r="CD50" s="20">
        <v>0</v>
      </c>
      <c r="CE50" s="20">
        <v>2495.6119999999996</v>
      </c>
      <c r="CF50" s="33"/>
      <c r="CG50" s="20">
        <v>0</v>
      </c>
      <c r="CH50" s="20"/>
      <c r="CI50" s="20">
        <v>770.233</v>
      </c>
      <c r="CJ50" s="33"/>
      <c r="CK50" s="20"/>
      <c r="CL50" s="33"/>
      <c r="CM50" s="20">
        <v>120216.097</v>
      </c>
      <c r="CN50" s="33"/>
      <c r="CO50" s="20">
        <v>0</v>
      </c>
      <c r="CP50" s="33"/>
      <c r="CQ50" s="20">
        <v>3000</v>
      </c>
      <c r="CR50" s="20">
        <v>650</v>
      </c>
      <c r="CS50" s="20">
        <v>0</v>
      </c>
      <c r="CT50" s="20">
        <v>17876.853</v>
      </c>
      <c r="CU50" s="33"/>
      <c r="CV50" s="20">
        <v>121738</v>
      </c>
      <c r="CW50" s="33"/>
      <c r="CX50" s="162">
        <f>41736+21132</f>
        <v>62868</v>
      </c>
      <c r="CZ50" s="145">
        <v>0</v>
      </c>
      <c r="DA50" s="33"/>
      <c r="DB50" s="145">
        <v>0</v>
      </c>
      <c r="DC50" s="33"/>
      <c r="DD50" s="33">
        <v>0</v>
      </c>
      <c r="DE50" s="33"/>
      <c r="DF50" s="20">
        <v>53035.205</v>
      </c>
      <c r="DG50" s="33"/>
      <c r="DH50" s="20">
        <v>423</v>
      </c>
    </row>
    <row r="51" spans="1:112" ht="12.75" hidden="1">
      <c r="A51" s="61" t="s">
        <v>54</v>
      </c>
      <c r="B51" s="117">
        <v>3160</v>
      </c>
      <c r="C51" s="117">
        <v>16030</v>
      </c>
      <c r="D51" s="20">
        <v>0</v>
      </c>
      <c r="E51" s="20">
        <v>0</v>
      </c>
      <c r="F51" s="33"/>
      <c r="G51" s="20">
        <v>0</v>
      </c>
      <c r="H51" s="20"/>
      <c r="I51" s="33"/>
      <c r="J51" s="20">
        <v>4825</v>
      </c>
      <c r="K51" s="20">
        <v>21540</v>
      </c>
      <c r="L51" s="20">
        <v>0</v>
      </c>
      <c r="M51" s="33"/>
      <c r="N51" s="117">
        <v>579.6299999999999</v>
      </c>
      <c r="O51" s="116"/>
      <c r="P51" s="117">
        <v>22890.8</v>
      </c>
      <c r="Q51" s="117"/>
      <c r="R51" s="117">
        <v>0</v>
      </c>
      <c r="S51" s="33"/>
      <c r="T51" s="33">
        <v>0</v>
      </c>
      <c r="U51" s="33">
        <v>0</v>
      </c>
      <c r="V51" s="33">
        <f t="shared" si="0"/>
        <v>0</v>
      </c>
      <c r="W51" s="33"/>
      <c r="X51" s="20"/>
      <c r="Y51" s="20"/>
      <c r="Z51" s="20"/>
      <c r="AA51" s="20"/>
      <c r="AB51" s="20"/>
      <c r="AC51" s="33"/>
      <c r="AD51" s="33"/>
      <c r="AE51" s="20">
        <v>12695.321</v>
      </c>
      <c r="AF51" s="20">
        <v>62967</v>
      </c>
      <c r="AG51" s="20">
        <v>0</v>
      </c>
      <c r="AH51" s="20">
        <v>519.464</v>
      </c>
      <c r="AI51" s="20">
        <v>0</v>
      </c>
      <c r="AJ51" s="20">
        <v>58.365</v>
      </c>
      <c r="AK51" s="20">
        <v>1956.95</v>
      </c>
      <c r="AL51" s="20">
        <v>434.672</v>
      </c>
      <c r="AM51" s="20">
        <v>0</v>
      </c>
      <c r="AN51" s="20">
        <v>0</v>
      </c>
      <c r="AO51" s="20">
        <v>0</v>
      </c>
      <c r="AP51" s="20">
        <v>215.321</v>
      </c>
      <c r="AQ51" s="20">
        <v>2246.897</v>
      </c>
      <c r="AR51" s="20"/>
      <c r="AS51" s="20"/>
      <c r="AT51" s="20">
        <v>0</v>
      </c>
      <c r="AU51" s="33"/>
      <c r="AV51" s="20"/>
      <c r="AW51" s="20">
        <v>0</v>
      </c>
      <c r="AX51" s="20">
        <v>0</v>
      </c>
      <c r="AY51" s="20"/>
      <c r="AZ51" s="20">
        <f>SUM('[2]project'!AU51,'[2]project'!AZ51)</f>
        <v>21454.182000000004</v>
      </c>
      <c r="BA51" s="33"/>
      <c r="BB51" s="20">
        <v>1770.028</v>
      </c>
      <c r="BC51" s="20">
        <f>498.962+500</f>
        <v>998.962</v>
      </c>
      <c r="BD51" s="20">
        <v>36899</v>
      </c>
      <c r="BE51" s="20"/>
      <c r="BF51" s="20">
        <v>355.626</v>
      </c>
      <c r="BG51" s="20">
        <v>78</v>
      </c>
      <c r="BH51" s="20">
        <v>78</v>
      </c>
      <c r="BI51" s="20">
        <v>0</v>
      </c>
      <c r="BJ51" s="20">
        <v>0</v>
      </c>
      <c r="BK51" s="20">
        <v>0</v>
      </c>
      <c r="BL51" s="20">
        <v>0</v>
      </c>
      <c r="BM51" s="20">
        <v>796.2</v>
      </c>
      <c r="BN51" s="20">
        <f>319.264+2251.942+1138.984+472.626+783.615+4946.732+287.5+686</f>
        <v>10886.663</v>
      </c>
      <c r="BO51" s="20"/>
      <c r="BP51" s="20">
        <f>700+700</f>
        <v>1400</v>
      </c>
      <c r="BQ51" s="20"/>
      <c r="BR51" s="20">
        <v>0</v>
      </c>
      <c r="BS51" s="20"/>
      <c r="BT51" s="20"/>
      <c r="BU51" s="20"/>
      <c r="BV51" s="20">
        <v>0</v>
      </c>
      <c r="BW51" s="20">
        <f>3300+750+1400+850</f>
        <v>6300</v>
      </c>
      <c r="BX51" s="20"/>
      <c r="BY51" s="20">
        <f>2370+2190+1550+2860+611.466+1010</f>
        <v>10591.466</v>
      </c>
      <c r="BZ51" s="20">
        <v>432.2</v>
      </c>
      <c r="CA51" s="20">
        <v>0</v>
      </c>
      <c r="CB51" s="20"/>
      <c r="CC51" s="20">
        <v>10677.301</v>
      </c>
      <c r="CD51" s="20">
        <v>4403.25</v>
      </c>
      <c r="CE51" s="20">
        <v>23153.158000000003</v>
      </c>
      <c r="CF51" s="33"/>
      <c r="CG51" s="20">
        <v>114071.646</v>
      </c>
      <c r="CH51" s="20"/>
      <c r="CI51" s="20">
        <v>2432.068</v>
      </c>
      <c r="CJ51" s="33"/>
      <c r="CK51" s="20"/>
      <c r="CL51" s="33"/>
      <c r="CM51" s="20">
        <v>258209.258</v>
      </c>
      <c r="CN51" s="33"/>
      <c r="CO51" s="20">
        <v>0</v>
      </c>
      <c r="CP51" s="33"/>
      <c r="CQ51" s="20">
        <v>7200</v>
      </c>
      <c r="CR51" s="20">
        <v>5000</v>
      </c>
      <c r="CS51" s="20">
        <v>78390</v>
      </c>
      <c r="CT51" s="20">
        <v>68153.404</v>
      </c>
      <c r="CU51" s="33"/>
      <c r="CV51" s="20">
        <v>538585</v>
      </c>
      <c r="CW51" s="33"/>
      <c r="CX51" s="162">
        <f>18810+16297+12805+24440+25612+73741+13810+29067+31602+10186+94303+13392+13639+13299+14445+13302+30385+16807</f>
        <v>465942</v>
      </c>
      <c r="CZ51" s="145">
        <v>0</v>
      </c>
      <c r="DA51" s="33"/>
      <c r="DB51" s="33">
        <v>65000</v>
      </c>
      <c r="DC51" s="33"/>
      <c r="DD51" s="33">
        <v>0</v>
      </c>
      <c r="DE51" s="33"/>
      <c r="DF51" s="20">
        <v>0</v>
      </c>
      <c r="DG51" s="33"/>
      <c r="DH51" s="20">
        <v>735</v>
      </c>
    </row>
    <row r="52" spans="1:112" ht="12.75" hidden="1">
      <c r="A52" s="10" t="s">
        <v>55</v>
      </c>
      <c r="B52" s="220">
        <v>23555</v>
      </c>
      <c r="C52" s="220">
        <v>126</v>
      </c>
      <c r="D52" s="22">
        <v>29405</v>
      </c>
      <c r="E52" s="22">
        <v>0</v>
      </c>
      <c r="F52" s="33"/>
      <c r="G52" s="22">
        <v>0</v>
      </c>
      <c r="H52" s="22"/>
      <c r="I52" s="33"/>
      <c r="J52" s="22">
        <v>0</v>
      </c>
      <c r="K52" s="22">
        <v>0</v>
      </c>
      <c r="L52" s="22">
        <v>0</v>
      </c>
      <c r="M52" s="33"/>
      <c r="N52" s="220">
        <v>2404.55</v>
      </c>
      <c r="O52" s="116"/>
      <c r="P52" s="220">
        <v>9172</v>
      </c>
      <c r="Q52" s="116"/>
      <c r="R52" s="220">
        <v>0</v>
      </c>
      <c r="S52" s="33"/>
      <c r="T52" s="22">
        <v>0</v>
      </c>
      <c r="U52" s="22">
        <v>0</v>
      </c>
      <c r="V52" s="22">
        <f t="shared" si="0"/>
        <v>0</v>
      </c>
      <c r="W52" s="33"/>
      <c r="X52" s="22"/>
      <c r="Y52" s="22"/>
      <c r="Z52" s="22"/>
      <c r="AA52" s="22"/>
      <c r="AB52" s="22"/>
      <c r="AC52" s="22"/>
      <c r="AD52" s="33"/>
      <c r="AE52" s="22">
        <v>783.581</v>
      </c>
      <c r="AF52" s="22">
        <v>3986</v>
      </c>
      <c r="AG52" s="22">
        <v>62.5</v>
      </c>
      <c r="AH52" s="22">
        <v>59.954</v>
      </c>
      <c r="AI52" s="22">
        <v>0</v>
      </c>
      <c r="AJ52" s="22">
        <v>0</v>
      </c>
      <c r="AK52" s="22">
        <v>0</v>
      </c>
      <c r="AL52" s="22">
        <v>0</v>
      </c>
      <c r="AM52" s="22">
        <v>0</v>
      </c>
      <c r="AN52" s="22">
        <v>0</v>
      </c>
      <c r="AO52" s="22">
        <v>0</v>
      </c>
      <c r="AP52" s="22">
        <v>0</v>
      </c>
      <c r="AQ52" s="22">
        <v>0</v>
      </c>
      <c r="AR52" s="22"/>
      <c r="AS52" s="22"/>
      <c r="AT52" s="22">
        <v>0</v>
      </c>
      <c r="AU52" s="33"/>
      <c r="AV52" s="22"/>
      <c r="AW52" s="22">
        <v>2000</v>
      </c>
      <c r="AX52" s="22">
        <v>600</v>
      </c>
      <c r="AY52" s="22"/>
      <c r="AZ52" s="22">
        <f>SUM('[2]project'!AU52,'[2]project'!AZ52)</f>
        <v>2836.5</v>
      </c>
      <c r="BA52" s="33"/>
      <c r="BB52" s="22">
        <v>880.882</v>
      </c>
      <c r="BC52" s="22">
        <v>0</v>
      </c>
      <c r="BD52" s="22">
        <v>5010</v>
      </c>
      <c r="BE52" s="22"/>
      <c r="BF52" s="22">
        <v>693.482</v>
      </c>
      <c r="BG52" s="22">
        <v>78</v>
      </c>
      <c r="BH52" s="22">
        <v>78</v>
      </c>
      <c r="BI52" s="22">
        <v>0</v>
      </c>
      <c r="BJ52" s="22">
        <v>0</v>
      </c>
      <c r="BK52" s="22">
        <v>0</v>
      </c>
      <c r="BL52" s="22">
        <v>0</v>
      </c>
      <c r="BM52" s="22">
        <v>0</v>
      </c>
      <c r="BN52" s="22">
        <v>0</v>
      </c>
      <c r="BO52" s="22"/>
      <c r="BP52" s="22">
        <v>625</v>
      </c>
      <c r="BQ52" s="22"/>
      <c r="BR52" s="22">
        <v>0</v>
      </c>
      <c r="BS52" s="22"/>
      <c r="BT52" s="22"/>
      <c r="BU52" s="22"/>
      <c r="BV52" s="22">
        <v>0</v>
      </c>
      <c r="BW52" s="22">
        <v>0</v>
      </c>
      <c r="BX52" s="22"/>
      <c r="BY52" s="22">
        <f>750+(850/6)</f>
        <v>891.6666666666666</v>
      </c>
      <c r="BZ52" s="22">
        <v>200</v>
      </c>
      <c r="CA52" s="22">
        <v>0</v>
      </c>
      <c r="CB52" s="22"/>
      <c r="CC52" s="22">
        <v>697.85</v>
      </c>
      <c r="CD52" s="22">
        <v>0</v>
      </c>
      <c r="CE52" s="22">
        <v>0</v>
      </c>
      <c r="CF52" s="33"/>
      <c r="CG52" s="22">
        <v>0</v>
      </c>
      <c r="CH52" s="22"/>
      <c r="CI52" s="22">
        <v>451.075</v>
      </c>
      <c r="CJ52" s="33"/>
      <c r="CK52" s="22"/>
      <c r="CL52" s="33"/>
      <c r="CM52" s="22">
        <v>53890</v>
      </c>
      <c r="CN52" s="33"/>
      <c r="CO52" s="22">
        <v>0</v>
      </c>
      <c r="CP52" s="33"/>
      <c r="CQ52" s="22">
        <v>0</v>
      </c>
      <c r="CR52" s="22">
        <v>0</v>
      </c>
      <c r="CS52" s="22">
        <v>90890</v>
      </c>
      <c r="CT52" s="22">
        <v>16070.924</v>
      </c>
      <c r="CU52" s="33"/>
      <c r="CV52" s="22">
        <v>50962</v>
      </c>
      <c r="CW52" s="33"/>
      <c r="CX52" s="142">
        <v>0</v>
      </c>
      <c r="CZ52" s="142">
        <v>0</v>
      </c>
      <c r="DA52" s="33"/>
      <c r="DB52" s="142">
        <v>0</v>
      </c>
      <c r="DC52" s="33"/>
      <c r="DD52" s="22">
        <v>0</v>
      </c>
      <c r="DE52" s="33"/>
      <c r="DF52" s="22">
        <v>0</v>
      </c>
      <c r="DG52" s="33"/>
      <c r="DH52" s="22">
        <v>718</v>
      </c>
    </row>
    <row r="53" spans="1:112" ht="12.75" customHeight="1" hidden="1">
      <c r="A53" s="61" t="s">
        <v>56</v>
      </c>
      <c r="B53" s="117">
        <v>577</v>
      </c>
      <c r="C53" s="117">
        <v>1006.5</v>
      </c>
      <c r="D53" s="20">
        <v>0</v>
      </c>
      <c r="E53" s="20">
        <v>0</v>
      </c>
      <c r="F53" s="33"/>
      <c r="G53" s="20">
        <v>567</v>
      </c>
      <c r="H53" s="20"/>
      <c r="I53" s="33"/>
      <c r="J53" s="20">
        <v>0</v>
      </c>
      <c r="K53" s="20">
        <v>0</v>
      </c>
      <c r="L53" s="20">
        <v>0</v>
      </c>
      <c r="M53" s="33"/>
      <c r="N53" s="117">
        <v>5772.757</v>
      </c>
      <c r="O53" s="116"/>
      <c r="P53" s="117">
        <v>30956.3</v>
      </c>
      <c r="Q53" s="117"/>
      <c r="R53" s="117">
        <v>0</v>
      </c>
      <c r="S53" s="33"/>
      <c r="T53" s="33">
        <v>0</v>
      </c>
      <c r="U53" s="33">
        <v>0</v>
      </c>
      <c r="V53" s="33">
        <f t="shared" si="0"/>
        <v>0</v>
      </c>
      <c r="W53" s="33"/>
      <c r="X53" s="20"/>
      <c r="Y53" s="20"/>
      <c r="Z53" s="20"/>
      <c r="AA53" s="20"/>
      <c r="AB53" s="20"/>
      <c r="AC53" s="33"/>
      <c r="AD53" s="33"/>
      <c r="AE53" s="20">
        <v>130.878</v>
      </c>
      <c r="AF53" s="20">
        <v>638</v>
      </c>
      <c r="AG53" s="20">
        <v>0</v>
      </c>
      <c r="AH53" s="20">
        <v>0</v>
      </c>
      <c r="AI53" s="20">
        <v>0</v>
      </c>
      <c r="AJ53" s="20">
        <v>26.19</v>
      </c>
      <c r="AK53" s="20">
        <v>0</v>
      </c>
      <c r="AL53" s="20">
        <v>0</v>
      </c>
      <c r="AM53" s="20">
        <v>0</v>
      </c>
      <c r="AN53" s="20">
        <v>0</v>
      </c>
      <c r="AO53" s="20">
        <v>0</v>
      </c>
      <c r="AP53" s="20">
        <v>0</v>
      </c>
      <c r="AQ53" s="20">
        <v>0</v>
      </c>
      <c r="AR53" s="20"/>
      <c r="AS53" s="20"/>
      <c r="AT53" s="20">
        <v>0</v>
      </c>
      <c r="AU53" s="33"/>
      <c r="AV53" s="20"/>
      <c r="AW53" s="20">
        <v>0</v>
      </c>
      <c r="AX53" s="20">
        <v>0</v>
      </c>
      <c r="AY53" s="20"/>
      <c r="AZ53" s="20">
        <f>SUM('[2]project'!AU53,'[2]project'!AZ53)</f>
        <v>3148.277</v>
      </c>
      <c r="BA53" s="33"/>
      <c r="BB53" s="20">
        <v>0</v>
      </c>
      <c r="BC53" s="20">
        <v>0</v>
      </c>
      <c r="BD53" s="20">
        <v>5045</v>
      </c>
      <c r="BE53" s="20"/>
      <c r="BF53" s="20">
        <v>724.173</v>
      </c>
      <c r="BG53" s="20">
        <v>0</v>
      </c>
      <c r="BH53" s="20">
        <v>0</v>
      </c>
      <c r="BI53" s="20">
        <v>156</v>
      </c>
      <c r="BJ53" s="20">
        <v>0</v>
      </c>
      <c r="BK53" s="20">
        <v>0</v>
      </c>
      <c r="BL53" s="20">
        <v>0</v>
      </c>
      <c r="BM53" s="20">
        <v>1055.355</v>
      </c>
      <c r="BN53" s="20">
        <v>0</v>
      </c>
      <c r="BO53" s="20"/>
      <c r="BP53" s="20">
        <v>496</v>
      </c>
      <c r="BQ53" s="20"/>
      <c r="BR53" s="20">
        <v>0</v>
      </c>
      <c r="BS53" s="20"/>
      <c r="BT53" s="20"/>
      <c r="BU53" s="20"/>
      <c r="BV53" s="20">
        <v>1200</v>
      </c>
      <c r="BW53" s="20">
        <v>1500</v>
      </c>
      <c r="BX53" s="20"/>
      <c r="BY53" s="20">
        <f>(1150/6)+(1650/3)</f>
        <v>741.6666666666666</v>
      </c>
      <c r="BZ53" s="20">
        <v>400</v>
      </c>
      <c r="CA53" s="20">
        <v>1202</v>
      </c>
      <c r="CB53" s="20"/>
      <c r="CC53" s="20">
        <v>0</v>
      </c>
      <c r="CD53" s="20">
        <v>0</v>
      </c>
      <c r="CE53" s="20">
        <v>330.534</v>
      </c>
      <c r="CF53" s="33"/>
      <c r="CG53" s="20">
        <v>0</v>
      </c>
      <c r="CH53" s="20"/>
      <c r="CI53" s="20">
        <v>257.003</v>
      </c>
      <c r="CJ53" s="33"/>
      <c r="CK53" s="20"/>
      <c r="CL53" s="33"/>
      <c r="CM53" s="20">
        <v>68928.65</v>
      </c>
      <c r="CN53" s="33"/>
      <c r="CO53" s="20">
        <v>0</v>
      </c>
      <c r="CP53" s="33"/>
      <c r="CQ53" s="20">
        <v>0</v>
      </c>
      <c r="CR53" s="20">
        <v>0</v>
      </c>
      <c r="CS53" s="20">
        <v>0</v>
      </c>
      <c r="CT53" s="20">
        <v>8624.03</v>
      </c>
      <c r="CU53" s="33"/>
      <c r="CV53" s="20">
        <v>24846</v>
      </c>
      <c r="CW53" s="33"/>
      <c r="CX53" s="162">
        <v>0</v>
      </c>
      <c r="CZ53" s="145">
        <v>0</v>
      </c>
      <c r="DA53" s="33"/>
      <c r="DB53" s="145">
        <v>0</v>
      </c>
      <c r="DC53" s="33"/>
      <c r="DD53" s="33">
        <v>1371.756</v>
      </c>
      <c r="DE53" s="33"/>
      <c r="DF53" s="20">
        <v>11701.366</v>
      </c>
      <c r="DG53" s="33"/>
      <c r="DH53" s="20">
        <v>214</v>
      </c>
    </row>
    <row r="54" spans="1:112" ht="12.75" hidden="1">
      <c r="A54" s="61" t="s">
        <v>57</v>
      </c>
      <c r="B54" s="117">
        <v>27229</v>
      </c>
      <c r="C54" s="117">
        <v>1958</v>
      </c>
      <c r="D54" s="20">
        <v>300</v>
      </c>
      <c r="E54" s="20">
        <v>0</v>
      </c>
      <c r="F54" s="33"/>
      <c r="G54" s="20">
        <v>1076</v>
      </c>
      <c r="H54" s="20"/>
      <c r="I54" s="33"/>
      <c r="J54" s="20">
        <v>4355</v>
      </c>
      <c r="K54" s="20">
        <v>973</v>
      </c>
      <c r="L54" s="20">
        <v>0</v>
      </c>
      <c r="M54" s="33"/>
      <c r="N54" s="117">
        <v>7134.674999999999</v>
      </c>
      <c r="O54" s="116"/>
      <c r="P54" s="117">
        <v>73069.4</v>
      </c>
      <c r="Q54" s="117"/>
      <c r="R54" s="117">
        <v>0</v>
      </c>
      <c r="S54" s="33"/>
      <c r="T54" s="33">
        <v>0</v>
      </c>
      <c r="U54" s="33">
        <v>0</v>
      </c>
      <c r="V54" s="33">
        <f t="shared" si="0"/>
        <v>0</v>
      </c>
      <c r="W54" s="33"/>
      <c r="X54" s="20"/>
      <c r="Y54" s="20"/>
      <c r="Z54" s="20"/>
      <c r="AA54" s="20"/>
      <c r="AB54" s="20"/>
      <c r="AC54" s="33"/>
      <c r="AD54" s="33"/>
      <c r="AE54" s="20">
        <v>1853.165</v>
      </c>
      <c r="AF54" s="20">
        <v>8873</v>
      </c>
      <c r="AG54" s="20">
        <v>0</v>
      </c>
      <c r="AH54" s="20">
        <v>90.823</v>
      </c>
      <c r="AI54" s="20">
        <v>0</v>
      </c>
      <c r="AJ54" s="20">
        <v>33.63</v>
      </c>
      <c r="AK54" s="20">
        <v>258.112</v>
      </c>
      <c r="AL54" s="20">
        <v>0</v>
      </c>
      <c r="AM54" s="20">
        <v>0</v>
      </c>
      <c r="AN54" s="20">
        <v>0</v>
      </c>
      <c r="AO54" s="20">
        <v>0</v>
      </c>
      <c r="AP54" s="20">
        <v>0</v>
      </c>
      <c r="AQ54" s="20">
        <v>1492.633</v>
      </c>
      <c r="AR54" s="20"/>
      <c r="AS54" s="20"/>
      <c r="AT54" s="20">
        <v>0</v>
      </c>
      <c r="AU54" s="33"/>
      <c r="AV54" s="20"/>
      <c r="AW54" s="20">
        <v>0</v>
      </c>
      <c r="AX54" s="20">
        <v>0</v>
      </c>
      <c r="AY54" s="20"/>
      <c r="AZ54" s="20">
        <f>SUM('[2]project'!AU54,'[2]project'!AZ54)</f>
        <v>4047.604</v>
      </c>
      <c r="BA54" s="33"/>
      <c r="BB54" s="20">
        <v>0</v>
      </c>
      <c r="BC54" s="20">
        <v>0</v>
      </c>
      <c r="BD54" s="20">
        <v>5127</v>
      </c>
      <c r="BE54" s="20"/>
      <c r="BF54" s="20">
        <v>991.185</v>
      </c>
      <c r="BG54" s="20">
        <v>0</v>
      </c>
      <c r="BH54" s="20">
        <v>0</v>
      </c>
      <c r="BI54" s="20">
        <v>156</v>
      </c>
      <c r="BJ54" s="20">
        <v>0</v>
      </c>
      <c r="BK54" s="20">
        <v>0</v>
      </c>
      <c r="BL54" s="20">
        <v>0</v>
      </c>
      <c r="BM54" s="20">
        <v>2288.228</v>
      </c>
      <c r="BN54" s="20">
        <v>0</v>
      </c>
      <c r="BO54" s="20"/>
      <c r="BP54" s="20">
        <f>476+700</f>
        <v>1176</v>
      </c>
      <c r="BQ54" s="20"/>
      <c r="BR54" s="20">
        <v>0</v>
      </c>
      <c r="BS54" s="20"/>
      <c r="BT54" s="20"/>
      <c r="BU54" s="20"/>
      <c r="BV54" s="20">
        <v>0</v>
      </c>
      <c r="BW54" s="20">
        <v>0</v>
      </c>
      <c r="BX54" s="20"/>
      <c r="BY54" s="20">
        <f>1000+(1300/2)+(4320/3)</f>
        <v>3090</v>
      </c>
      <c r="BZ54" s="20">
        <v>200</v>
      </c>
      <c r="CA54" s="20">
        <v>0</v>
      </c>
      <c r="CB54" s="20"/>
      <c r="CC54" s="20">
        <v>7277.075000000001</v>
      </c>
      <c r="CD54" s="20">
        <v>0</v>
      </c>
      <c r="CE54" s="20">
        <v>2834.1850000000004</v>
      </c>
      <c r="CF54" s="33"/>
      <c r="CG54" s="20">
        <v>0</v>
      </c>
      <c r="CH54" s="20"/>
      <c r="CI54" s="20">
        <v>912.836</v>
      </c>
      <c r="CJ54" s="33"/>
      <c r="CK54" s="20"/>
      <c r="CL54" s="33"/>
      <c r="CM54" s="20">
        <v>20694.097</v>
      </c>
      <c r="CN54" s="33"/>
      <c r="CO54" s="20">
        <v>0</v>
      </c>
      <c r="CP54" s="33"/>
      <c r="CQ54" s="20">
        <v>0</v>
      </c>
      <c r="CR54" s="20">
        <v>1500</v>
      </c>
      <c r="CS54" s="20">
        <v>77260</v>
      </c>
      <c r="CT54" s="20">
        <v>8407.295</v>
      </c>
      <c r="CU54" s="33"/>
      <c r="CV54" s="20">
        <v>191077</v>
      </c>
      <c r="CW54" s="33"/>
      <c r="CX54" s="162">
        <v>0</v>
      </c>
      <c r="CZ54" s="145">
        <v>0</v>
      </c>
      <c r="DA54" s="33"/>
      <c r="DB54" s="33">
        <v>29000</v>
      </c>
      <c r="DC54" s="33"/>
      <c r="DD54" s="33">
        <v>0</v>
      </c>
      <c r="DE54" s="33"/>
      <c r="DF54" s="20">
        <v>112488.313</v>
      </c>
      <c r="DG54" s="33"/>
      <c r="DH54" s="20">
        <v>0</v>
      </c>
    </row>
    <row r="55" spans="1:112" ht="12.75" hidden="1">
      <c r="A55" s="61" t="s">
        <v>58</v>
      </c>
      <c r="B55" s="117">
        <v>62198</v>
      </c>
      <c r="C55" s="117">
        <v>12670</v>
      </c>
      <c r="D55" s="20">
        <v>550</v>
      </c>
      <c r="E55" s="20">
        <v>116900</v>
      </c>
      <c r="F55" s="33"/>
      <c r="G55" s="20">
        <v>5091</v>
      </c>
      <c r="H55" s="20"/>
      <c r="I55" s="33"/>
      <c r="J55" s="20">
        <v>0</v>
      </c>
      <c r="K55" s="20">
        <v>625</v>
      </c>
      <c r="L55" s="20">
        <v>1687.816</v>
      </c>
      <c r="M55" s="33"/>
      <c r="N55" s="117">
        <v>5376.7699999999995</v>
      </c>
      <c r="O55" s="116"/>
      <c r="P55" s="117">
        <v>41357</v>
      </c>
      <c r="Q55" s="117"/>
      <c r="R55" s="117">
        <v>0</v>
      </c>
      <c r="S55" s="33"/>
      <c r="T55" s="33">
        <v>0</v>
      </c>
      <c r="U55" s="33">
        <v>0</v>
      </c>
      <c r="V55" s="33">
        <f t="shared" si="0"/>
        <v>0</v>
      </c>
      <c r="W55" s="33"/>
      <c r="X55" s="20"/>
      <c r="Y55" s="20"/>
      <c r="Z55" s="20"/>
      <c r="AA55" s="20"/>
      <c r="AB55" s="20"/>
      <c r="AC55" s="33"/>
      <c r="AD55" s="33"/>
      <c r="AE55" s="20">
        <v>1736.4</v>
      </c>
      <c r="AF55" s="20">
        <v>8761</v>
      </c>
      <c r="AG55" s="20">
        <v>0</v>
      </c>
      <c r="AH55" s="20">
        <v>655.996</v>
      </c>
      <c r="AI55" s="20">
        <v>0</v>
      </c>
      <c r="AJ55" s="20">
        <v>49.78</v>
      </c>
      <c r="AK55" s="20">
        <v>200.104</v>
      </c>
      <c r="AL55" s="20">
        <v>0</v>
      </c>
      <c r="AM55" s="20">
        <v>0</v>
      </c>
      <c r="AN55" s="20">
        <v>0</v>
      </c>
      <c r="AO55" s="20">
        <v>976.747</v>
      </c>
      <c r="AP55" s="20">
        <v>0</v>
      </c>
      <c r="AQ55" s="20">
        <v>2499.301</v>
      </c>
      <c r="AR55" s="20"/>
      <c r="AS55" s="20"/>
      <c r="AT55" s="20">
        <v>0</v>
      </c>
      <c r="AU55" s="33"/>
      <c r="AV55" s="20"/>
      <c r="AW55" s="20">
        <f>1035+2625</f>
        <v>3660</v>
      </c>
      <c r="AX55" s="20">
        <v>0</v>
      </c>
      <c r="AY55" s="20"/>
      <c r="AZ55" s="20">
        <f>SUM('[2]project'!AU55,'[2]project'!AZ55)</f>
        <v>61775.383000000016</v>
      </c>
      <c r="BA55" s="33"/>
      <c r="BB55" s="20">
        <v>8724.756000000001</v>
      </c>
      <c r="BC55" s="20">
        <f>500+500</f>
        <v>1000</v>
      </c>
      <c r="BD55" s="20">
        <v>18543</v>
      </c>
      <c r="BE55" s="20"/>
      <c r="BF55" s="20">
        <v>498.253</v>
      </c>
      <c r="BG55" s="20">
        <v>78</v>
      </c>
      <c r="BH55" s="20">
        <v>78</v>
      </c>
      <c r="BI55" s="20">
        <v>0</v>
      </c>
      <c r="BJ55" s="20">
        <f>899.999+633.703+899.999</f>
        <v>2433.701</v>
      </c>
      <c r="BK55" s="20">
        <v>0</v>
      </c>
      <c r="BL55" s="20">
        <v>30835.581</v>
      </c>
      <c r="BM55" s="20">
        <v>1489.3730000000003</v>
      </c>
      <c r="BN55" s="20">
        <v>0</v>
      </c>
      <c r="BO55" s="20"/>
      <c r="BP55" s="20">
        <f>699+623</f>
        <v>1322</v>
      </c>
      <c r="BQ55" s="20"/>
      <c r="BR55" s="20">
        <v>0</v>
      </c>
      <c r="BS55" s="20"/>
      <c r="BT55" s="20"/>
      <c r="BU55" s="20"/>
      <c r="BV55" s="20">
        <v>0</v>
      </c>
      <c r="BW55" s="20">
        <f>1500+330.86+1440</f>
        <v>3270.86</v>
      </c>
      <c r="BX55" s="20"/>
      <c r="BY55" s="20">
        <v>0</v>
      </c>
      <c r="BZ55" s="20">
        <v>400</v>
      </c>
      <c r="CA55" s="20">
        <v>2625.92</v>
      </c>
      <c r="CB55" s="20"/>
      <c r="CC55" s="20">
        <v>7211.5419999999995</v>
      </c>
      <c r="CD55" s="20">
        <v>1906.53</v>
      </c>
      <c r="CE55" s="20">
        <v>7924.999</v>
      </c>
      <c r="CF55" s="33"/>
      <c r="CG55" s="20">
        <v>0</v>
      </c>
      <c r="CH55" s="20"/>
      <c r="CI55" s="20">
        <v>800.91</v>
      </c>
      <c r="CJ55" s="33"/>
      <c r="CK55" s="20"/>
      <c r="CL55" s="33"/>
      <c r="CM55" s="20">
        <v>35825.817</v>
      </c>
      <c r="CN55" s="33"/>
      <c r="CO55" s="20">
        <v>0</v>
      </c>
      <c r="CP55" s="33"/>
      <c r="CQ55" s="20">
        <v>750</v>
      </c>
      <c r="CR55" s="20">
        <v>7425</v>
      </c>
      <c r="CS55" s="20">
        <v>44000</v>
      </c>
      <c r="CT55" s="20">
        <v>50729.987</v>
      </c>
      <c r="CU55" s="33"/>
      <c r="CV55" s="20">
        <v>164111</v>
      </c>
      <c r="CW55" s="33"/>
      <c r="CX55" s="162">
        <v>0</v>
      </c>
      <c r="CZ55" s="145">
        <v>499838.83997</v>
      </c>
      <c r="DA55" s="33"/>
      <c r="DB55" s="145">
        <v>0</v>
      </c>
      <c r="DC55" s="33"/>
      <c r="DD55" s="33">
        <v>250</v>
      </c>
      <c r="DE55" s="33"/>
      <c r="DF55" s="20">
        <v>10979.349</v>
      </c>
      <c r="DG55" s="33"/>
      <c r="DH55" s="20">
        <v>2761</v>
      </c>
    </row>
    <row r="56" spans="1:112" ht="12.75" hidden="1">
      <c r="A56" s="61" t="s">
        <v>59</v>
      </c>
      <c r="B56" s="117">
        <v>3001</v>
      </c>
      <c r="C56" s="117">
        <v>5000</v>
      </c>
      <c r="D56" s="20">
        <v>0</v>
      </c>
      <c r="E56" s="20">
        <v>0</v>
      </c>
      <c r="F56" s="33"/>
      <c r="G56" s="20">
        <v>0</v>
      </c>
      <c r="H56" s="20"/>
      <c r="I56" s="33"/>
      <c r="J56" s="20">
        <v>4050</v>
      </c>
      <c r="K56" s="20">
        <v>10085</v>
      </c>
      <c r="L56" s="20">
        <v>1670.5</v>
      </c>
      <c r="M56" s="33"/>
      <c r="N56" s="117">
        <v>5892.2</v>
      </c>
      <c r="O56" s="116"/>
      <c r="P56" s="117">
        <v>75590.3</v>
      </c>
      <c r="Q56" s="117"/>
      <c r="R56" s="117">
        <v>0</v>
      </c>
      <c r="S56" s="33"/>
      <c r="T56" s="33">
        <v>0</v>
      </c>
      <c r="U56" s="33">
        <v>0</v>
      </c>
      <c r="V56" s="33">
        <f t="shared" si="0"/>
        <v>0</v>
      </c>
      <c r="W56" s="33"/>
      <c r="X56" s="20"/>
      <c r="Y56" s="20"/>
      <c r="Z56" s="20"/>
      <c r="AA56" s="20"/>
      <c r="AB56" s="20"/>
      <c r="AC56" s="33"/>
      <c r="AD56" s="33"/>
      <c r="AE56" s="20">
        <v>723.148</v>
      </c>
      <c r="AF56" s="20">
        <v>3447</v>
      </c>
      <c r="AG56" s="20">
        <v>0</v>
      </c>
      <c r="AH56" s="20">
        <v>1.587</v>
      </c>
      <c r="AI56" s="20">
        <v>0</v>
      </c>
      <c r="AJ56" s="20">
        <v>33.885</v>
      </c>
      <c r="AK56" s="20">
        <v>222.769</v>
      </c>
      <c r="AL56" s="20">
        <v>5.129</v>
      </c>
      <c r="AM56" s="20">
        <v>0</v>
      </c>
      <c r="AN56" s="20">
        <v>0</v>
      </c>
      <c r="AO56" s="20">
        <v>0</v>
      </c>
      <c r="AP56" s="20">
        <v>0</v>
      </c>
      <c r="AQ56" s="20">
        <v>0</v>
      </c>
      <c r="AR56" s="20"/>
      <c r="AS56" s="20"/>
      <c r="AT56" s="20">
        <v>0</v>
      </c>
      <c r="AU56" s="33"/>
      <c r="AV56" s="20"/>
      <c r="AW56" s="20">
        <v>1902</v>
      </c>
      <c r="AX56" s="20">
        <v>0</v>
      </c>
      <c r="AY56" s="20"/>
      <c r="AZ56" s="20">
        <f>SUM('[2]project'!AU56,'[2]project'!AZ56)</f>
        <v>0</v>
      </c>
      <c r="BA56" s="33"/>
      <c r="BB56" s="20">
        <v>0</v>
      </c>
      <c r="BC56" s="20">
        <v>0</v>
      </c>
      <c r="BD56" s="20">
        <v>5082</v>
      </c>
      <c r="BE56" s="20"/>
      <c r="BF56" s="20">
        <v>280.396</v>
      </c>
      <c r="BG56" s="20">
        <v>78</v>
      </c>
      <c r="BH56" s="20">
        <v>78</v>
      </c>
      <c r="BI56" s="20">
        <v>0</v>
      </c>
      <c r="BJ56" s="20">
        <v>0</v>
      </c>
      <c r="BK56" s="20">
        <v>0</v>
      </c>
      <c r="BL56" s="20">
        <v>0</v>
      </c>
      <c r="BM56" s="20">
        <v>427.41499999999996</v>
      </c>
      <c r="BN56" s="20">
        <v>0</v>
      </c>
      <c r="BO56" s="20"/>
      <c r="BP56" s="20">
        <f>603+717</f>
        <v>1320</v>
      </c>
      <c r="BQ56" s="20"/>
      <c r="BR56" s="20">
        <v>0</v>
      </c>
      <c r="BS56" s="20"/>
      <c r="BT56" s="20"/>
      <c r="BU56" s="20"/>
      <c r="BV56" s="20">
        <v>1400</v>
      </c>
      <c r="BW56" s="20">
        <f>6400+3748</f>
        <v>10148</v>
      </c>
      <c r="BX56" s="20"/>
      <c r="BY56" s="20">
        <v>0</v>
      </c>
      <c r="BZ56" s="20">
        <v>400</v>
      </c>
      <c r="CA56" s="20">
        <v>0</v>
      </c>
      <c r="CB56" s="20"/>
      <c r="CC56" s="20">
        <v>0</v>
      </c>
      <c r="CD56" s="20">
        <v>0</v>
      </c>
      <c r="CE56" s="20">
        <v>39.398</v>
      </c>
      <c r="CF56" s="33"/>
      <c r="CG56" s="20">
        <v>0</v>
      </c>
      <c r="CH56" s="20"/>
      <c r="CI56" s="20">
        <v>366.482</v>
      </c>
      <c r="CJ56" s="33"/>
      <c r="CK56" s="20"/>
      <c r="CL56" s="33"/>
      <c r="CM56" s="20">
        <v>0</v>
      </c>
      <c r="CN56" s="33"/>
      <c r="CO56" s="20">
        <v>0</v>
      </c>
      <c r="CP56" s="33"/>
      <c r="CQ56" s="20">
        <v>0</v>
      </c>
      <c r="CR56" s="20">
        <v>0</v>
      </c>
      <c r="CS56" s="20">
        <v>0</v>
      </c>
      <c r="CT56" s="20">
        <v>14096</v>
      </c>
      <c r="CU56" s="33"/>
      <c r="CV56" s="20">
        <v>78219</v>
      </c>
      <c r="CW56" s="33"/>
      <c r="CX56" s="162">
        <v>0</v>
      </c>
      <c r="CZ56" s="145">
        <v>0</v>
      </c>
      <c r="DA56" s="33"/>
      <c r="DB56" s="33">
        <v>20000</v>
      </c>
      <c r="DC56" s="33"/>
      <c r="DD56" s="33">
        <v>0</v>
      </c>
      <c r="DE56" s="33"/>
      <c r="DF56" s="20">
        <v>0</v>
      </c>
      <c r="DG56" s="33"/>
      <c r="DH56" s="20">
        <v>149</v>
      </c>
    </row>
    <row r="57" spans="1:112" ht="12.75" hidden="1">
      <c r="A57" s="10" t="s">
        <v>60</v>
      </c>
      <c r="B57" s="220">
        <v>60</v>
      </c>
      <c r="C57" s="220">
        <v>7418.5</v>
      </c>
      <c r="D57" s="22">
        <v>0</v>
      </c>
      <c r="E57" s="22">
        <v>0</v>
      </c>
      <c r="F57" s="33"/>
      <c r="G57" s="22">
        <v>0</v>
      </c>
      <c r="H57" s="22"/>
      <c r="I57" s="33"/>
      <c r="J57" s="22">
        <v>0</v>
      </c>
      <c r="K57" s="22">
        <v>0</v>
      </c>
      <c r="L57" s="22">
        <v>19718.77</v>
      </c>
      <c r="M57" s="33"/>
      <c r="N57" s="220">
        <v>10065</v>
      </c>
      <c r="O57" s="116"/>
      <c r="P57" s="220">
        <v>21682.9</v>
      </c>
      <c r="Q57" s="116"/>
      <c r="R57" s="220">
        <v>23392</v>
      </c>
      <c r="S57" s="33"/>
      <c r="T57" s="22">
        <v>0</v>
      </c>
      <c r="U57" s="22">
        <v>0</v>
      </c>
      <c r="V57" s="22">
        <f t="shared" si="0"/>
        <v>0</v>
      </c>
      <c r="W57" s="33"/>
      <c r="X57" s="22"/>
      <c r="Y57" s="22"/>
      <c r="Z57" s="22"/>
      <c r="AA57" s="22"/>
      <c r="AB57" s="22"/>
      <c r="AC57" s="22"/>
      <c r="AD57" s="33"/>
      <c r="AE57" s="22">
        <v>1432.666</v>
      </c>
      <c r="AF57" s="22">
        <v>7025</v>
      </c>
      <c r="AG57" s="22">
        <v>0</v>
      </c>
      <c r="AH57" s="22">
        <v>96.615</v>
      </c>
      <c r="AI57" s="22">
        <v>0</v>
      </c>
      <c r="AJ57" s="22">
        <v>34.225</v>
      </c>
      <c r="AK57" s="22">
        <v>157.47</v>
      </c>
      <c r="AL57" s="22">
        <v>24.042</v>
      </c>
      <c r="AM57" s="22">
        <v>0</v>
      </c>
      <c r="AN57" s="22">
        <v>0</v>
      </c>
      <c r="AO57" s="22">
        <v>0</v>
      </c>
      <c r="AP57" s="22">
        <v>0</v>
      </c>
      <c r="AQ57" s="22">
        <v>1500</v>
      </c>
      <c r="AR57" s="22"/>
      <c r="AS57" s="22"/>
      <c r="AT57" s="22">
        <v>0</v>
      </c>
      <c r="AU57" s="33"/>
      <c r="AV57" s="22"/>
      <c r="AW57" s="22">
        <v>6000</v>
      </c>
      <c r="AX57" s="22">
        <v>0</v>
      </c>
      <c r="AY57" s="22"/>
      <c r="AZ57" s="22">
        <f>SUM('[2]project'!AU57,'[2]project'!AZ57)</f>
        <v>9378.544</v>
      </c>
      <c r="BA57" s="33"/>
      <c r="BB57" s="22">
        <v>0</v>
      </c>
      <c r="BC57" s="22">
        <v>497.691</v>
      </c>
      <c r="BD57" s="22">
        <v>12164</v>
      </c>
      <c r="BE57" s="22"/>
      <c r="BF57" s="22">
        <v>1022.259</v>
      </c>
      <c r="BG57" s="22">
        <v>78</v>
      </c>
      <c r="BH57" s="22">
        <v>78</v>
      </c>
      <c r="BI57" s="22">
        <v>0</v>
      </c>
      <c r="BJ57" s="22">
        <v>899.999</v>
      </c>
      <c r="BK57" s="22">
        <v>350.3</v>
      </c>
      <c r="BL57" s="22">
        <v>0</v>
      </c>
      <c r="BM57" s="22">
        <v>4573.558</v>
      </c>
      <c r="BN57" s="22">
        <v>0</v>
      </c>
      <c r="BO57" s="22"/>
      <c r="BP57" s="22">
        <f>458+700</f>
        <v>1158</v>
      </c>
      <c r="BQ57" s="22"/>
      <c r="BR57" s="22">
        <v>0</v>
      </c>
      <c r="BS57" s="22"/>
      <c r="BT57" s="22"/>
      <c r="BU57" s="22"/>
      <c r="BV57" s="22">
        <v>0</v>
      </c>
      <c r="BW57" s="22">
        <f>1260+687.1+199.98+160</f>
        <v>2307.08</v>
      </c>
      <c r="BX57" s="22"/>
      <c r="BY57" s="22">
        <f>2070+571.107+(2420/2)+(3720/4)</f>
        <v>4781.107</v>
      </c>
      <c r="BZ57" s="22">
        <v>3000</v>
      </c>
      <c r="CA57" s="22">
        <v>450</v>
      </c>
      <c r="CB57" s="22"/>
      <c r="CC57" s="22">
        <v>1208.522</v>
      </c>
      <c r="CD57" s="22">
        <v>0</v>
      </c>
      <c r="CE57" s="22">
        <v>1916.961</v>
      </c>
      <c r="CF57" s="33"/>
      <c r="CG57" s="22">
        <v>0</v>
      </c>
      <c r="CH57" s="22"/>
      <c r="CI57" s="22">
        <v>716.382</v>
      </c>
      <c r="CJ57" s="33"/>
      <c r="CK57" s="22"/>
      <c r="CL57" s="33"/>
      <c r="CM57" s="22">
        <v>21525.946</v>
      </c>
      <c r="CN57" s="33"/>
      <c r="CO57" s="22">
        <v>0</v>
      </c>
      <c r="CP57" s="33"/>
      <c r="CQ57" s="22">
        <v>1800</v>
      </c>
      <c r="CR57" s="22">
        <v>360</v>
      </c>
      <c r="CS57" s="22">
        <v>0</v>
      </c>
      <c r="CT57" s="22">
        <v>25192.668</v>
      </c>
      <c r="CU57" s="33"/>
      <c r="CV57" s="22">
        <v>98589</v>
      </c>
      <c r="CW57" s="33"/>
      <c r="CX57" s="142">
        <v>72118</v>
      </c>
      <c r="CZ57" s="142">
        <v>0</v>
      </c>
      <c r="DA57" s="33"/>
      <c r="DB57" s="142">
        <v>0</v>
      </c>
      <c r="DC57" s="33"/>
      <c r="DD57" s="22">
        <v>2000</v>
      </c>
      <c r="DE57" s="33"/>
      <c r="DF57" s="22">
        <v>139572.351</v>
      </c>
      <c r="DG57" s="33"/>
      <c r="DH57" s="22">
        <v>1383</v>
      </c>
    </row>
    <row r="58" spans="1:112" ht="12.75" hidden="1">
      <c r="A58" s="37" t="s">
        <v>61</v>
      </c>
      <c r="B58" s="117">
        <v>32260</v>
      </c>
      <c r="C58" s="117">
        <v>7877</v>
      </c>
      <c r="D58" s="20">
        <v>22805</v>
      </c>
      <c r="E58" s="20">
        <v>0</v>
      </c>
      <c r="F58" s="33"/>
      <c r="G58" s="20">
        <v>0</v>
      </c>
      <c r="H58" s="20"/>
      <c r="I58" s="33"/>
      <c r="J58" s="20">
        <v>0</v>
      </c>
      <c r="K58" s="20">
        <v>0</v>
      </c>
      <c r="L58" s="20">
        <v>0</v>
      </c>
      <c r="M58" s="33"/>
      <c r="N58" s="117">
        <v>0</v>
      </c>
      <c r="O58" s="116"/>
      <c r="P58" s="117">
        <v>0</v>
      </c>
      <c r="Q58" s="117"/>
      <c r="R58" s="117">
        <v>0</v>
      </c>
      <c r="S58" s="33"/>
      <c r="T58" s="33">
        <v>0</v>
      </c>
      <c r="U58" s="33">
        <v>0</v>
      </c>
      <c r="V58" s="33">
        <f t="shared" si="0"/>
        <v>0</v>
      </c>
      <c r="W58" s="33"/>
      <c r="X58" s="20"/>
      <c r="Y58" s="20"/>
      <c r="Z58" s="20"/>
      <c r="AA58" s="20"/>
      <c r="AB58" s="20"/>
      <c r="AC58" s="33"/>
      <c r="AD58" s="33"/>
      <c r="AE58" s="20">
        <v>67</v>
      </c>
      <c r="AF58" s="20">
        <v>627</v>
      </c>
      <c r="AG58" s="20">
        <v>11.5</v>
      </c>
      <c r="AH58" s="20">
        <v>42.182</v>
      </c>
      <c r="AI58" s="20">
        <v>0</v>
      </c>
      <c r="AJ58" s="20">
        <v>30.655</v>
      </c>
      <c r="AK58" s="20">
        <v>0</v>
      </c>
      <c r="AL58" s="20">
        <v>0</v>
      </c>
      <c r="AM58" s="20">
        <v>0</v>
      </c>
      <c r="AN58" s="20">
        <v>0</v>
      </c>
      <c r="AO58" s="20">
        <v>0</v>
      </c>
      <c r="AP58" s="20">
        <v>0</v>
      </c>
      <c r="AQ58" s="20">
        <v>0</v>
      </c>
      <c r="AR58" s="20"/>
      <c r="AS58" s="20"/>
      <c r="AT58" s="20">
        <v>0</v>
      </c>
      <c r="AU58" s="33"/>
      <c r="AV58" s="20"/>
      <c r="AW58" s="20">
        <v>1596</v>
      </c>
      <c r="AX58" s="20">
        <v>0</v>
      </c>
      <c r="AY58" s="20"/>
      <c r="AZ58" s="20">
        <f>SUM('[2]project'!AU58,'[2]project'!AZ58)</f>
        <v>0</v>
      </c>
      <c r="BA58" s="33"/>
      <c r="BB58" s="20">
        <v>0</v>
      </c>
      <c r="BC58" s="20">
        <v>0</v>
      </c>
      <c r="BD58" s="20">
        <v>5150</v>
      </c>
      <c r="BE58" s="20"/>
      <c r="BF58" s="20">
        <v>383.589</v>
      </c>
      <c r="BG58" s="20">
        <v>0</v>
      </c>
      <c r="BH58" s="20">
        <v>0</v>
      </c>
      <c r="BI58" s="20">
        <v>156</v>
      </c>
      <c r="BJ58" s="20">
        <v>0</v>
      </c>
      <c r="BK58" s="20">
        <v>0</v>
      </c>
      <c r="BL58" s="20">
        <v>0</v>
      </c>
      <c r="BM58" s="20">
        <v>1905.464</v>
      </c>
      <c r="BN58" s="20">
        <v>0</v>
      </c>
      <c r="BO58" s="20"/>
      <c r="BP58" s="20">
        <v>0</v>
      </c>
      <c r="BQ58" s="20"/>
      <c r="BR58" s="20">
        <v>0</v>
      </c>
      <c r="BS58" s="20"/>
      <c r="BT58" s="20"/>
      <c r="BU58" s="20"/>
      <c r="BV58" s="20">
        <v>0</v>
      </c>
      <c r="BW58" s="20">
        <v>0</v>
      </c>
      <c r="BX58" s="20"/>
      <c r="BY58" s="20">
        <f>(850/6)+1340</f>
        <v>1481.6666666666667</v>
      </c>
      <c r="BZ58" s="20">
        <v>0</v>
      </c>
      <c r="CA58" s="20">
        <v>0</v>
      </c>
      <c r="CB58" s="20"/>
      <c r="CC58" s="20">
        <v>0</v>
      </c>
      <c r="CD58" s="20">
        <v>0</v>
      </c>
      <c r="CE58" s="20">
        <v>0</v>
      </c>
      <c r="CF58" s="33"/>
      <c r="CG58" s="20">
        <v>0</v>
      </c>
      <c r="CH58" s="20"/>
      <c r="CI58" s="20">
        <v>248.874</v>
      </c>
      <c r="CJ58" s="33"/>
      <c r="CK58" s="20"/>
      <c r="CL58" s="33"/>
      <c r="CM58" s="20">
        <v>7588.248</v>
      </c>
      <c r="CN58" s="33"/>
      <c r="CO58" s="20">
        <v>0</v>
      </c>
      <c r="CP58" s="33"/>
      <c r="CQ58" s="20">
        <v>0</v>
      </c>
      <c r="CR58" s="20">
        <v>0</v>
      </c>
      <c r="CS58" s="20">
        <v>0</v>
      </c>
      <c r="CT58" s="20">
        <v>8600</v>
      </c>
      <c r="CU58" s="33"/>
      <c r="CV58" s="20">
        <v>24080</v>
      </c>
      <c r="CW58" s="33"/>
      <c r="CX58" s="162">
        <v>0</v>
      </c>
      <c r="CZ58" s="145">
        <v>0</v>
      </c>
      <c r="DA58" s="33"/>
      <c r="DB58" s="145">
        <v>0</v>
      </c>
      <c r="DC58" s="33"/>
      <c r="DD58" s="33">
        <v>0</v>
      </c>
      <c r="DE58" s="33"/>
      <c r="DF58" s="20">
        <v>0</v>
      </c>
      <c r="DG58" s="33"/>
      <c r="DH58" s="20">
        <v>0</v>
      </c>
    </row>
    <row r="59" spans="1:112" ht="12.75" customHeight="1" hidden="1">
      <c r="A59" s="61" t="s">
        <v>62</v>
      </c>
      <c r="B59" s="117">
        <v>50</v>
      </c>
      <c r="C59" s="117">
        <v>1241</v>
      </c>
      <c r="D59" s="20">
        <v>0</v>
      </c>
      <c r="E59" s="20">
        <v>0</v>
      </c>
      <c r="F59" s="33"/>
      <c r="G59" s="20">
        <v>0</v>
      </c>
      <c r="H59" s="20"/>
      <c r="I59" s="33"/>
      <c r="J59" s="20">
        <v>0</v>
      </c>
      <c r="K59" s="20">
        <v>0</v>
      </c>
      <c r="L59" s="20">
        <v>0</v>
      </c>
      <c r="M59" s="33"/>
      <c r="N59" s="117">
        <v>0</v>
      </c>
      <c r="O59" s="116"/>
      <c r="P59" s="117">
        <v>20758.642</v>
      </c>
      <c r="Q59" s="117"/>
      <c r="R59" s="117">
        <v>0</v>
      </c>
      <c r="S59" s="33"/>
      <c r="T59" s="33">
        <v>0</v>
      </c>
      <c r="U59" s="33">
        <v>0</v>
      </c>
      <c r="V59" s="33">
        <f t="shared" si="0"/>
        <v>0</v>
      </c>
      <c r="W59" s="33"/>
      <c r="X59" s="20"/>
      <c r="Y59" s="20"/>
      <c r="Z59" s="20"/>
      <c r="AA59" s="20"/>
      <c r="AB59" s="20"/>
      <c r="AC59" s="33"/>
      <c r="AD59" s="33"/>
      <c r="AE59" s="20">
        <v>1854.721</v>
      </c>
      <c r="AF59" s="20">
        <v>15954</v>
      </c>
      <c r="AG59" s="20">
        <v>0</v>
      </c>
      <c r="AH59" s="20">
        <v>2.79</v>
      </c>
      <c r="AI59" s="20">
        <v>0</v>
      </c>
      <c r="AJ59" s="20">
        <v>0</v>
      </c>
      <c r="AK59" s="20">
        <v>1957.428</v>
      </c>
      <c r="AL59" s="20">
        <v>157.392</v>
      </c>
      <c r="AM59" s="20">
        <v>0</v>
      </c>
      <c r="AN59" s="20">
        <v>0</v>
      </c>
      <c r="AO59" s="20">
        <v>0</v>
      </c>
      <c r="AP59" s="20">
        <v>0</v>
      </c>
      <c r="AQ59" s="20">
        <v>250</v>
      </c>
      <c r="AR59" s="20"/>
      <c r="AS59" s="20"/>
      <c r="AT59" s="20">
        <v>0</v>
      </c>
      <c r="AU59" s="33"/>
      <c r="AV59" s="20"/>
      <c r="AW59" s="20">
        <v>0</v>
      </c>
      <c r="AX59" s="20">
        <v>0</v>
      </c>
      <c r="AY59" s="20"/>
      <c r="AZ59" s="20">
        <f>SUM('[2]project'!AU59,'[2]project'!AZ59)</f>
        <v>0</v>
      </c>
      <c r="BA59" s="33"/>
      <c r="BB59" s="20">
        <v>0</v>
      </c>
      <c r="BC59" s="20">
        <v>0</v>
      </c>
      <c r="BD59" s="20">
        <v>5056</v>
      </c>
      <c r="BE59" s="20"/>
      <c r="BF59" s="20">
        <v>707.816</v>
      </c>
      <c r="BG59" s="20">
        <v>0</v>
      </c>
      <c r="BH59" s="20">
        <v>0</v>
      </c>
      <c r="BI59" s="20">
        <v>156</v>
      </c>
      <c r="BJ59" s="20">
        <v>0</v>
      </c>
      <c r="BK59" s="20">
        <v>0</v>
      </c>
      <c r="BL59" s="20">
        <v>0</v>
      </c>
      <c r="BM59" s="20">
        <v>0</v>
      </c>
      <c r="BN59" s="20">
        <v>0</v>
      </c>
      <c r="BO59" s="20"/>
      <c r="BP59" s="20">
        <v>0</v>
      </c>
      <c r="BQ59" s="20"/>
      <c r="BR59" s="20">
        <v>0</v>
      </c>
      <c r="BS59" s="20"/>
      <c r="BT59" s="20"/>
      <c r="BU59" s="20"/>
      <c r="BV59" s="20">
        <v>0</v>
      </c>
      <c r="BW59" s="20">
        <v>0</v>
      </c>
      <c r="BX59" s="20"/>
      <c r="BY59" s="20">
        <f>(2800/3)</f>
        <v>933.3333333333334</v>
      </c>
      <c r="BZ59" s="20">
        <v>0</v>
      </c>
      <c r="CA59" s="20">
        <v>0</v>
      </c>
      <c r="CB59" s="20"/>
      <c r="CC59" s="20">
        <v>0</v>
      </c>
      <c r="CD59" s="20">
        <v>965.193</v>
      </c>
      <c r="CE59" s="20">
        <v>1201.208</v>
      </c>
      <c r="CF59" s="33"/>
      <c r="CG59" s="20">
        <v>0</v>
      </c>
      <c r="CH59" s="20"/>
      <c r="CI59" s="20">
        <v>562.794</v>
      </c>
      <c r="CJ59" s="33"/>
      <c r="CK59" s="20"/>
      <c r="CL59" s="33"/>
      <c r="CM59" s="20">
        <v>0</v>
      </c>
      <c r="CN59" s="33"/>
      <c r="CO59" s="20">
        <v>0</v>
      </c>
      <c r="CP59" s="33"/>
      <c r="CQ59" s="20">
        <v>0</v>
      </c>
      <c r="CR59" s="20">
        <v>0</v>
      </c>
      <c r="CS59" s="20">
        <v>0</v>
      </c>
      <c r="CT59" s="20">
        <v>7000</v>
      </c>
      <c r="CU59" s="33"/>
      <c r="CV59" s="20">
        <v>0</v>
      </c>
      <c r="CW59" s="33"/>
      <c r="CX59" s="162">
        <v>376055</v>
      </c>
      <c r="CZ59" s="145">
        <v>0</v>
      </c>
      <c r="DA59" s="33"/>
      <c r="DB59" s="145">
        <v>0</v>
      </c>
      <c r="DC59" s="33"/>
      <c r="DD59" s="33">
        <v>0</v>
      </c>
      <c r="DE59" s="33"/>
      <c r="DF59" s="20">
        <v>158920.948</v>
      </c>
      <c r="DG59" s="33"/>
      <c r="DH59" s="20">
        <v>0</v>
      </c>
    </row>
    <row r="60" spans="1:112" ht="12.75" hidden="1">
      <c r="A60" s="9" t="s">
        <v>63</v>
      </c>
      <c r="B60" s="117">
        <v>0</v>
      </c>
      <c r="C60" s="117">
        <v>0</v>
      </c>
      <c r="D60" s="20">
        <v>0</v>
      </c>
      <c r="E60" s="20">
        <v>0</v>
      </c>
      <c r="F60" s="33"/>
      <c r="G60" s="20">
        <v>0</v>
      </c>
      <c r="H60" s="20"/>
      <c r="I60" s="33"/>
      <c r="J60" s="20">
        <v>0</v>
      </c>
      <c r="K60" s="20">
        <v>0</v>
      </c>
      <c r="L60" s="20">
        <v>0</v>
      </c>
      <c r="M60" s="33"/>
      <c r="N60" s="117">
        <v>0</v>
      </c>
      <c r="O60" s="116"/>
      <c r="P60" s="117">
        <v>0</v>
      </c>
      <c r="Q60" s="117"/>
      <c r="R60" s="117">
        <v>0</v>
      </c>
      <c r="S60" s="33"/>
      <c r="T60" s="33">
        <v>0</v>
      </c>
      <c r="U60" s="33">
        <v>0</v>
      </c>
      <c r="V60" s="33">
        <f t="shared" si="0"/>
        <v>0</v>
      </c>
      <c r="W60" s="33"/>
      <c r="X60" s="20"/>
      <c r="Y60" s="20"/>
      <c r="Z60" s="20"/>
      <c r="AA60" s="20"/>
      <c r="AB60" s="20"/>
      <c r="AC60" s="33"/>
      <c r="AD60" s="33"/>
      <c r="AE60" s="20" t="s">
        <v>192</v>
      </c>
      <c r="AF60" s="20">
        <f>SUM(AF8:AF59)</f>
        <v>523954</v>
      </c>
      <c r="AG60" s="20">
        <v>0</v>
      </c>
      <c r="AH60" s="20">
        <v>0</v>
      </c>
      <c r="AI60" s="20">
        <v>0</v>
      </c>
      <c r="AJ60" s="20">
        <v>0</v>
      </c>
      <c r="AK60" s="20">
        <v>0</v>
      </c>
      <c r="AL60" s="20">
        <v>0</v>
      </c>
      <c r="AM60" s="20">
        <v>0</v>
      </c>
      <c r="AN60" s="20">
        <v>0</v>
      </c>
      <c r="AO60" s="20">
        <v>0</v>
      </c>
      <c r="AP60" s="20">
        <v>0</v>
      </c>
      <c r="AQ60" s="20">
        <v>250</v>
      </c>
      <c r="AR60" s="20"/>
      <c r="AS60" s="20"/>
      <c r="AT60" s="20">
        <v>0</v>
      </c>
      <c r="AU60" s="33"/>
      <c r="AV60" s="20"/>
      <c r="AW60" s="20">
        <v>0</v>
      </c>
      <c r="AX60" s="20">
        <v>0</v>
      </c>
      <c r="AY60" s="20"/>
      <c r="AZ60" s="20">
        <f>SUM('[2]project'!AU60,'[2]project'!AZ60)</f>
        <v>0</v>
      </c>
      <c r="BA60" s="33"/>
      <c r="BB60" s="20">
        <v>0</v>
      </c>
      <c r="BC60" s="20">
        <v>0</v>
      </c>
      <c r="BD60" s="20">
        <v>0</v>
      </c>
      <c r="BE60" s="20"/>
      <c r="BF60" s="20">
        <v>0</v>
      </c>
      <c r="BG60" s="20">
        <v>0</v>
      </c>
      <c r="BH60" s="20">
        <v>78</v>
      </c>
      <c r="BI60" s="20">
        <v>0</v>
      </c>
      <c r="BJ60" s="20">
        <v>0</v>
      </c>
      <c r="BK60" s="20">
        <v>0</v>
      </c>
      <c r="BL60" s="20">
        <v>0</v>
      </c>
      <c r="BM60" s="20">
        <v>0</v>
      </c>
      <c r="BN60" s="20">
        <v>0</v>
      </c>
      <c r="BO60" s="20"/>
      <c r="BP60" s="20">
        <v>0</v>
      </c>
      <c r="BQ60" s="20"/>
      <c r="BR60" s="20">
        <v>0</v>
      </c>
      <c r="BS60" s="20"/>
      <c r="BT60" s="20"/>
      <c r="BU60" s="20"/>
      <c r="BV60" s="20">
        <v>0</v>
      </c>
      <c r="BW60" s="20">
        <v>0</v>
      </c>
      <c r="BX60" s="20"/>
      <c r="BY60" s="20">
        <v>0</v>
      </c>
      <c r="BZ60" s="20">
        <v>0</v>
      </c>
      <c r="CA60" s="20">
        <v>0</v>
      </c>
      <c r="CB60" s="20"/>
      <c r="CC60" s="20">
        <v>0</v>
      </c>
      <c r="CD60" s="20">
        <v>0</v>
      </c>
      <c r="CE60" s="20">
        <v>0</v>
      </c>
      <c r="CF60" s="33"/>
      <c r="CG60" s="20">
        <v>0</v>
      </c>
      <c r="CH60" s="20"/>
      <c r="CI60" s="20">
        <v>0</v>
      </c>
      <c r="CJ60" s="33"/>
      <c r="CK60" s="20"/>
      <c r="CL60" s="33"/>
      <c r="CM60" s="20">
        <v>0</v>
      </c>
      <c r="CN60" s="33"/>
      <c r="CO60" s="20">
        <v>0</v>
      </c>
      <c r="CP60" s="33"/>
      <c r="CQ60" s="20">
        <v>0</v>
      </c>
      <c r="CR60" s="20">
        <v>0</v>
      </c>
      <c r="CS60" s="20">
        <v>0</v>
      </c>
      <c r="CT60" s="20">
        <v>3000</v>
      </c>
      <c r="CU60" s="33"/>
      <c r="CV60" s="20">
        <v>10748</v>
      </c>
      <c r="CW60" s="33"/>
      <c r="CX60" s="162">
        <v>0</v>
      </c>
      <c r="CZ60" s="145">
        <v>0</v>
      </c>
      <c r="DA60" s="33"/>
      <c r="DB60" s="145">
        <v>0</v>
      </c>
      <c r="DC60" s="33"/>
      <c r="DD60" s="33">
        <v>0</v>
      </c>
      <c r="DE60" s="33"/>
      <c r="DF60" s="20">
        <v>0</v>
      </c>
      <c r="DG60" s="33"/>
      <c r="DH60" s="20">
        <v>0</v>
      </c>
    </row>
    <row r="61" spans="1:112" ht="12.75" hidden="1">
      <c r="A61" s="37" t="s">
        <v>64</v>
      </c>
      <c r="B61" s="117">
        <v>0</v>
      </c>
      <c r="C61" s="117">
        <v>0</v>
      </c>
      <c r="D61" s="20">
        <v>0</v>
      </c>
      <c r="E61" s="20">
        <v>0</v>
      </c>
      <c r="F61" s="33"/>
      <c r="G61" s="20">
        <v>0</v>
      </c>
      <c r="H61" s="20"/>
      <c r="I61" s="33"/>
      <c r="J61" s="20">
        <v>0</v>
      </c>
      <c r="K61" s="20">
        <v>0</v>
      </c>
      <c r="L61" s="20">
        <v>0</v>
      </c>
      <c r="M61" s="33"/>
      <c r="N61" s="117">
        <v>0</v>
      </c>
      <c r="O61" s="116"/>
      <c r="P61" s="117">
        <v>103555.3</v>
      </c>
      <c r="Q61" s="117"/>
      <c r="R61" s="117">
        <v>0</v>
      </c>
      <c r="S61" s="33"/>
      <c r="T61" s="33">
        <v>0</v>
      </c>
      <c r="U61" s="33">
        <v>0</v>
      </c>
      <c r="V61" s="33">
        <f t="shared" si="0"/>
        <v>0</v>
      </c>
      <c r="W61" s="33"/>
      <c r="X61" s="20"/>
      <c r="Y61" s="20"/>
      <c r="Z61" s="20"/>
      <c r="AA61" s="20"/>
      <c r="AB61" s="20"/>
      <c r="AC61" s="33"/>
      <c r="AD61" s="33"/>
      <c r="AE61" s="20" t="s">
        <v>192</v>
      </c>
      <c r="AF61" s="20" t="s">
        <v>192</v>
      </c>
      <c r="AG61" s="20">
        <v>0</v>
      </c>
      <c r="AH61" s="20">
        <v>0</v>
      </c>
      <c r="AI61" s="20">
        <v>0</v>
      </c>
      <c r="AJ61" s="20">
        <v>0</v>
      </c>
      <c r="AK61" s="20">
        <v>0</v>
      </c>
      <c r="AL61" s="20">
        <v>0</v>
      </c>
      <c r="AM61" s="20">
        <v>0</v>
      </c>
      <c r="AN61" s="20">
        <v>0</v>
      </c>
      <c r="AO61" s="20">
        <v>0</v>
      </c>
      <c r="AP61" s="20">
        <v>0</v>
      </c>
      <c r="AQ61" s="20">
        <v>0</v>
      </c>
      <c r="AR61" s="20"/>
      <c r="AS61" s="20"/>
      <c r="AT61" s="20">
        <v>0</v>
      </c>
      <c r="AU61" s="33"/>
      <c r="AV61" s="20"/>
      <c r="AW61" s="20">
        <v>0</v>
      </c>
      <c r="AX61" s="20">
        <v>0</v>
      </c>
      <c r="AY61" s="20"/>
      <c r="AZ61" s="20">
        <f>SUM('[2]project'!AU61,'[2]project'!AZ61)</f>
        <v>0</v>
      </c>
      <c r="BA61" s="33"/>
      <c r="BB61" s="20">
        <v>0</v>
      </c>
      <c r="BC61" s="20">
        <v>0</v>
      </c>
      <c r="BD61" s="20">
        <v>1818</v>
      </c>
      <c r="BE61" s="20"/>
      <c r="BF61" s="20">
        <v>0</v>
      </c>
      <c r="BG61" s="20">
        <v>0</v>
      </c>
      <c r="BH61" s="20">
        <v>0</v>
      </c>
      <c r="BI61" s="20">
        <v>156</v>
      </c>
      <c r="BJ61" s="20">
        <v>0</v>
      </c>
      <c r="BK61" s="20">
        <v>0</v>
      </c>
      <c r="BL61" s="20">
        <v>0</v>
      </c>
      <c r="BM61" s="20">
        <v>993.037</v>
      </c>
      <c r="BN61" s="20">
        <v>0</v>
      </c>
      <c r="BO61" s="20"/>
      <c r="BP61" s="20">
        <v>0</v>
      </c>
      <c r="BQ61" s="20"/>
      <c r="BR61" s="20">
        <v>0</v>
      </c>
      <c r="BS61" s="20"/>
      <c r="BT61" s="20"/>
      <c r="BU61" s="20"/>
      <c r="BV61" s="20">
        <v>0</v>
      </c>
      <c r="BW61" s="20">
        <v>0</v>
      </c>
      <c r="BX61" s="20"/>
      <c r="BY61" s="20">
        <v>0</v>
      </c>
      <c r="BZ61" s="20">
        <v>0</v>
      </c>
      <c r="CA61" s="20">
        <v>0</v>
      </c>
      <c r="CB61" s="20"/>
      <c r="CC61" s="20">
        <v>0</v>
      </c>
      <c r="CD61" s="20">
        <v>0</v>
      </c>
      <c r="CE61" s="20">
        <v>910.594</v>
      </c>
      <c r="CF61" s="33"/>
      <c r="CG61" s="20">
        <v>0</v>
      </c>
      <c r="CH61" s="20"/>
      <c r="CI61" s="20">
        <v>0</v>
      </c>
      <c r="CJ61" s="33"/>
      <c r="CK61" s="20"/>
      <c r="CL61" s="33"/>
      <c r="CM61" s="20">
        <v>16603.507</v>
      </c>
      <c r="CN61" s="33"/>
      <c r="CO61" s="20">
        <v>0</v>
      </c>
      <c r="CP61" s="33"/>
      <c r="CQ61" s="20">
        <v>0</v>
      </c>
      <c r="CR61" s="20">
        <v>0</v>
      </c>
      <c r="CS61" s="20">
        <v>0</v>
      </c>
      <c r="CT61" s="20">
        <v>4807.18</v>
      </c>
      <c r="CU61" s="33"/>
      <c r="CV61" s="20">
        <v>10980</v>
      </c>
      <c r="CW61" s="33"/>
      <c r="CX61" s="162">
        <v>0</v>
      </c>
      <c r="CZ61" s="145">
        <v>0</v>
      </c>
      <c r="DA61" s="33"/>
      <c r="DB61" s="145">
        <v>0</v>
      </c>
      <c r="DC61" s="33"/>
      <c r="DD61" s="33">
        <v>0</v>
      </c>
      <c r="DE61" s="33"/>
      <c r="DF61" s="20">
        <v>0</v>
      </c>
      <c r="DG61" s="33"/>
      <c r="DH61" s="20">
        <v>0</v>
      </c>
    </row>
    <row r="62" spans="1:112" ht="12.75" hidden="1">
      <c r="A62" s="37" t="s">
        <v>185</v>
      </c>
      <c r="B62" s="117">
        <v>747</v>
      </c>
      <c r="C62" s="117">
        <v>0</v>
      </c>
      <c r="D62" s="20">
        <v>0</v>
      </c>
      <c r="E62" s="20">
        <v>0</v>
      </c>
      <c r="F62" s="33"/>
      <c r="G62" s="20">
        <v>0</v>
      </c>
      <c r="H62" s="20"/>
      <c r="I62" s="33"/>
      <c r="J62" s="20">
        <v>0</v>
      </c>
      <c r="K62" s="20">
        <v>4150</v>
      </c>
      <c r="L62" s="20">
        <v>0</v>
      </c>
      <c r="M62" s="33"/>
      <c r="N62" s="117">
        <v>0</v>
      </c>
      <c r="O62" s="116"/>
      <c r="P62" s="117">
        <v>0</v>
      </c>
      <c r="Q62" s="117"/>
      <c r="R62" s="117">
        <v>0</v>
      </c>
      <c r="S62" s="33"/>
      <c r="T62" s="33">
        <v>0</v>
      </c>
      <c r="U62" s="33">
        <v>0</v>
      </c>
      <c r="V62" s="33">
        <f t="shared" si="0"/>
        <v>0</v>
      </c>
      <c r="W62" s="33"/>
      <c r="X62" s="20"/>
      <c r="Y62" s="20"/>
      <c r="Z62" s="20"/>
      <c r="AA62" s="20"/>
      <c r="AB62" s="20"/>
      <c r="AC62" s="33"/>
      <c r="AD62" s="33"/>
      <c r="AE62" s="20" t="s">
        <v>192</v>
      </c>
      <c r="AF62" s="20" t="s">
        <v>192</v>
      </c>
      <c r="AG62" s="20">
        <v>0</v>
      </c>
      <c r="AH62" s="20">
        <v>0</v>
      </c>
      <c r="AI62" s="20">
        <v>0</v>
      </c>
      <c r="AJ62" s="20">
        <v>0</v>
      </c>
      <c r="AK62" s="20">
        <v>0</v>
      </c>
      <c r="AL62" s="20">
        <v>0</v>
      </c>
      <c r="AM62" s="20">
        <v>0</v>
      </c>
      <c r="AN62" s="20">
        <v>0</v>
      </c>
      <c r="AO62" s="20">
        <v>0</v>
      </c>
      <c r="AP62" s="20">
        <v>0</v>
      </c>
      <c r="AQ62" s="20">
        <v>0</v>
      </c>
      <c r="AR62" s="20"/>
      <c r="AS62" s="20"/>
      <c r="AT62" s="20">
        <v>0</v>
      </c>
      <c r="AU62" s="33"/>
      <c r="AV62" s="20"/>
      <c r="AW62" s="20">
        <v>0</v>
      </c>
      <c r="AX62" s="20">
        <v>0</v>
      </c>
      <c r="AY62" s="20"/>
      <c r="AZ62" s="20">
        <f>SUM('[2]project'!AU62,'[2]project'!AZ62)</f>
        <v>0</v>
      </c>
      <c r="BA62" s="33"/>
      <c r="BB62" s="20">
        <v>0</v>
      </c>
      <c r="BC62" s="20">
        <v>0</v>
      </c>
      <c r="BD62" s="20">
        <v>519</v>
      </c>
      <c r="BE62" s="20"/>
      <c r="BF62" s="20">
        <v>0</v>
      </c>
      <c r="BG62" s="20">
        <v>0</v>
      </c>
      <c r="BH62" s="20">
        <v>78</v>
      </c>
      <c r="BI62" s="20">
        <v>0</v>
      </c>
      <c r="BJ62" s="20">
        <v>0</v>
      </c>
      <c r="BK62" s="20">
        <v>0</v>
      </c>
      <c r="BL62" s="20">
        <v>0</v>
      </c>
      <c r="BM62" s="20">
        <v>0</v>
      </c>
      <c r="BN62" s="20">
        <v>0</v>
      </c>
      <c r="BO62" s="20"/>
      <c r="BP62" s="20">
        <v>0</v>
      </c>
      <c r="BQ62" s="20"/>
      <c r="BR62" s="20">
        <v>0</v>
      </c>
      <c r="BS62" s="20"/>
      <c r="BT62" s="20"/>
      <c r="BU62" s="20"/>
      <c r="BV62" s="20">
        <v>0</v>
      </c>
      <c r="BW62" s="20">
        <v>0</v>
      </c>
      <c r="BX62" s="20"/>
      <c r="BY62" s="20">
        <v>0</v>
      </c>
      <c r="BZ62" s="20">
        <v>0</v>
      </c>
      <c r="CA62" s="20">
        <v>0</v>
      </c>
      <c r="CB62" s="20"/>
      <c r="CC62" s="20">
        <v>0</v>
      </c>
      <c r="CD62" s="20">
        <v>0</v>
      </c>
      <c r="CE62" s="20">
        <v>0</v>
      </c>
      <c r="CF62" s="33"/>
      <c r="CG62" s="20">
        <v>0</v>
      </c>
      <c r="CH62" s="20"/>
      <c r="CI62" s="20">
        <v>0</v>
      </c>
      <c r="CJ62" s="33"/>
      <c r="CK62" s="20"/>
      <c r="CL62" s="33"/>
      <c r="CM62" s="20">
        <v>0</v>
      </c>
      <c r="CN62" s="33"/>
      <c r="CO62" s="20">
        <v>0</v>
      </c>
      <c r="CP62" s="33"/>
      <c r="CQ62" s="20">
        <v>0</v>
      </c>
      <c r="CR62" s="20">
        <v>0</v>
      </c>
      <c r="CS62" s="20">
        <v>0</v>
      </c>
      <c r="CT62" s="20">
        <v>0</v>
      </c>
      <c r="CU62" s="33"/>
      <c r="CV62" s="20">
        <v>10703</v>
      </c>
      <c r="CW62" s="33"/>
      <c r="CX62" s="162">
        <v>0</v>
      </c>
      <c r="CZ62" s="145">
        <v>0</v>
      </c>
      <c r="DA62" s="33"/>
      <c r="DB62" s="145">
        <v>0</v>
      </c>
      <c r="DC62" s="33"/>
      <c r="DD62" s="33">
        <v>0</v>
      </c>
      <c r="DE62" s="33"/>
      <c r="DF62" s="20">
        <v>0</v>
      </c>
      <c r="DG62" s="33"/>
      <c r="DH62" s="20">
        <v>0</v>
      </c>
    </row>
    <row r="63" spans="1:112" ht="12.75" hidden="1">
      <c r="A63" s="10" t="s">
        <v>66</v>
      </c>
      <c r="B63" s="220">
        <v>1688</v>
      </c>
      <c r="C63" s="220">
        <v>0</v>
      </c>
      <c r="D63" s="22">
        <v>0</v>
      </c>
      <c r="E63" s="22">
        <v>0</v>
      </c>
      <c r="F63" s="33"/>
      <c r="G63" s="22">
        <v>0</v>
      </c>
      <c r="H63" s="22"/>
      <c r="I63" s="33"/>
      <c r="J63" s="22">
        <v>0</v>
      </c>
      <c r="K63" s="22">
        <v>0</v>
      </c>
      <c r="L63" s="22">
        <v>0</v>
      </c>
      <c r="M63" s="33"/>
      <c r="N63" s="220">
        <v>0</v>
      </c>
      <c r="O63" s="116"/>
      <c r="P63" s="220">
        <v>0</v>
      </c>
      <c r="Q63" s="116"/>
      <c r="R63" s="220">
        <v>0</v>
      </c>
      <c r="S63" s="33"/>
      <c r="T63" s="22">
        <v>0</v>
      </c>
      <c r="U63" s="22">
        <v>0</v>
      </c>
      <c r="V63" s="22">
        <f t="shared" si="0"/>
        <v>0</v>
      </c>
      <c r="W63" s="33"/>
      <c r="X63" s="22"/>
      <c r="Y63" s="22"/>
      <c r="Z63" s="22"/>
      <c r="AA63" s="22"/>
      <c r="AB63" s="22"/>
      <c r="AC63" s="22"/>
      <c r="AD63" s="33"/>
      <c r="AE63" s="22" t="s">
        <v>192</v>
      </c>
      <c r="AF63" s="22" t="s">
        <v>192</v>
      </c>
      <c r="AG63" s="22">
        <v>0</v>
      </c>
      <c r="AH63" s="22">
        <v>0</v>
      </c>
      <c r="AI63" s="22">
        <v>0</v>
      </c>
      <c r="AJ63" s="22">
        <v>0</v>
      </c>
      <c r="AK63" s="22">
        <v>12.676</v>
      </c>
      <c r="AL63" s="22">
        <v>0</v>
      </c>
      <c r="AM63" s="22">
        <v>0</v>
      </c>
      <c r="AN63" s="22">
        <v>0</v>
      </c>
      <c r="AO63" s="22">
        <v>0</v>
      </c>
      <c r="AP63" s="22">
        <v>0</v>
      </c>
      <c r="AQ63" s="22">
        <v>250</v>
      </c>
      <c r="AR63" s="22"/>
      <c r="AS63" s="22"/>
      <c r="AT63" s="22">
        <v>0</v>
      </c>
      <c r="AU63" s="33"/>
      <c r="AV63" s="22"/>
      <c r="AW63" s="22">
        <v>0</v>
      </c>
      <c r="AX63" s="22">
        <v>0</v>
      </c>
      <c r="AY63" s="22"/>
      <c r="AZ63" s="22">
        <f>SUM('[2]project'!AU63,'[2]project'!AZ63)</f>
        <v>0</v>
      </c>
      <c r="BA63" s="33"/>
      <c r="BB63" s="22">
        <v>0</v>
      </c>
      <c r="BC63" s="22">
        <v>0</v>
      </c>
      <c r="BD63" s="22">
        <v>0</v>
      </c>
      <c r="BE63" s="22"/>
      <c r="BF63" s="22">
        <v>0</v>
      </c>
      <c r="BG63" s="22">
        <v>0</v>
      </c>
      <c r="BH63" s="22">
        <v>0</v>
      </c>
      <c r="BI63" s="22">
        <v>156</v>
      </c>
      <c r="BJ63" s="22">
        <v>0</v>
      </c>
      <c r="BK63" s="22">
        <v>0</v>
      </c>
      <c r="BL63" s="22">
        <v>0</v>
      </c>
      <c r="BM63" s="22">
        <v>0</v>
      </c>
      <c r="BN63" s="22">
        <v>0</v>
      </c>
      <c r="BO63" s="22"/>
      <c r="BP63" s="22">
        <v>0</v>
      </c>
      <c r="BQ63" s="22"/>
      <c r="BR63" s="22">
        <v>0</v>
      </c>
      <c r="BS63" s="22"/>
      <c r="BT63" s="22"/>
      <c r="BU63" s="22"/>
      <c r="BV63" s="22">
        <v>0</v>
      </c>
      <c r="BW63" s="22">
        <v>0</v>
      </c>
      <c r="BX63" s="22"/>
      <c r="BY63" s="22">
        <v>0</v>
      </c>
      <c r="BZ63" s="22">
        <v>0</v>
      </c>
      <c r="CA63" s="22">
        <v>0</v>
      </c>
      <c r="CB63" s="22"/>
      <c r="CC63" s="22">
        <v>0</v>
      </c>
      <c r="CD63" s="22">
        <v>0</v>
      </c>
      <c r="CE63" s="22">
        <v>1877.126</v>
      </c>
      <c r="CF63" s="33"/>
      <c r="CG63" s="22">
        <v>0</v>
      </c>
      <c r="CH63" s="22"/>
      <c r="CI63" s="22">
        <v>0</v>
      </c>
      <c r="CJ63" s="33"/>
      <c r="CK63" s="22"/>
      <c r="CL63" s="33"/>
      <c r="CM63" s="22">
        <v>0</v>
      </c>
      <c r="CN63" s="33"/>
      <c r="CO63" s="22">
        <v>0</v>
      </c>
      <c r="CP63" s="33"/>
      <c r="CQ63" s="22">
        <v>3000</v>
      </c>
      <c r="CR63" s="22">
        <v>0</v>
      </c>
      <c r="CS63" s="22">
        <v>0</v>
      </c>
      <c r="CT63" s="22">
        <v>0</v>
      </c>
      <c r="CU63" s="33"/>
      <c r="CV63" s="22">
        <v>9974</v>
      </c>
      <c r="CW63" s="33"/>
      <c r="CX63" s="142">
        <v>0</v>
      </c>
      <c r="CZ63" s="142">
        <v>0</v>
      </c>
      <c r="DA63" s="33"/>
      <c r="DB63" s="142">
        <v>0</v>
      </c>
      <c r="DC63" s="33"/>
      <c r="DD63" s="22">
        <v>0</v>
      </c>
      <c r="DE63" s="33"/>
      <c r="DF63" s="22">
        <v>20246.499</v>
      </c>
      <c r="DG63" s="33"/>
      <c r="DH63" s="22">
        <v>0</v>
      </c>
    </row>
    <row r="64" spans="1:112" s="146" customFormat="1" ht="12.75" hidden="1">
      <c r="A64" s="164" t="s">
        <v>67</v>
      </c>
      <c r="B64" s="221">
        <f>SUM(B8:B63)</f>
        <v>640078</v>
      </c>
      <c r="C64" s="221">
        <f>SUM(C8:C63)</f>
        <v>235092.99999999997</v>
      </c>
      <c r="D64" s="127">
        <f>SUM(D8:D63)</f>
        <v>289750</v>
      </c>
      <c r="E64" s="127">
        <f>SUM(E8:E63)</f>
        <v>678514</v>
      </c>
      <c r="F64" s="130"/>
      <c r="G64" s="127">
        <f>SUM(G8:G63)</f>
        <v>89321.7</v>
      </c>
      <c r="H64" s="127">
        <f>SUM(H8:H63)</f>
        <v>0</v>
      </c>
      <c r="I64" s="130"/>
      <c r="J64" s="127">
        <f>SUM(J8:J63)</f>
        <v>44718.6</v>
      </c>
      <c r="K64" s="127">
        <f>SUM(K8:K63)</f>
        <v>132009.488</v>
      </c>
      <c r="L64" s="127">
        <f>SUM(L8:L63)</f>
        <v>138048.308</v>
      </c>
      <c r="M64" s="130"/>
      <c r="N64" s="127">
        <f>SUM(N8:N63)</f>
        <v>281570.8240000001</v>
      </c>
      <c r="O64" s="130"/>
      <c r="P64" s="127">
        <f>SUM(P8:P63)</f>
        <v>1704973.132</v>
      </c>
      <c r="Q64" s="127"/>
      <c r="R64" s="127">
        <f>SUM(R8:R63)</f>
        <v>71654.3</v>
      </c>
      <c r="S64" s="130"/>
      <c r="T64" s="130">
        <f>SUM(T8:T63)</f>
        <v>3060.707</v>
      </c>
      <c r="U64" s="130">
        <f>SUM(U8:U63)</f>
        <v>5422.496</v>
      </c>
      <c r="V64" s="130">
        <f>SUM(V8:V63)</f>
        <v>8483.203</v>
      </c>
      <c r="W64" s="130"/>
      <c r="X64" s="127">
        <v>200000</v>
      </c>
      <c r="Y64" s="127">
        <v>250000</v>
      </c>
      <c r="Z64" s="127">
        <v>4350000</v>
      </c>
      <c r="AA64" s="127">
        <v>650000</v>
      </c>
      <c r="AB64" s="127">
        <v>59400</v>
      </c>
      <c r="AC64" s="130">
        <v>100000</v>
      </c>
      <c r="AD64" s="130"/>
      <c r="AE64" s="127">
        <f>SUM(AE8:AE59)</f>
        <v>99606.09299999996</v>
      </c>
      <c r="AF64" s="127">
        <v>523954</v>
      </c>
      <c r="AG64" s="127">
        <f aca="true" t="shared" si="1" ref="AG64:AP64">SUM(AG8:AG63)</f>
        <v>572.25</v>
      </c>
      <c r="AH64" s="127">
        <f>SUM(AH8:AH63)</f>
        <v>8856.368</v>
      </c>
      <c r="AI64" s="127">
        <f>SUM(AI8:AI63)</f>
        <v>5814</v>
      </c>
      <c r="AJ64" s="127">
        <f>SUM(AJ8:AJ63)</f>
        <v>1830.0109999999997</v>
      </c>
      <c r="AK64" s="127">
        <f t="shared" si="1"/>
        <v>19268.496000000003</v>
      </c>
      <c r="AL64" s="127">
        <f t="shared" si="1"/>
        <v>2985</v>
      </c>
      <c r="AM64" s="127">
        <f t="shared" si="1"/>
        <v>2663.611</v>
      </c>
      <c r="AN64" s="127">
        <f t="shared" si="1"/>
        <v>4899.439</v>
      </c>
      <c r="AO64" s="127">
        <f>SUM(AO8:AO63)</f>
        <v>2504.098</v>
      </c>
      <c r="AP64" s="127">
        <f t="shared" si="1"/>
        <v>810.9250000000001</v>
      </c>
      <c r="AQ64" s="127">
        <f>SUM(AQ8:AQ63)</f>
        <v>46000</v>
      </c>
      <c r="AR64" s="127">
        <v>40000</v>
      </c>
      <c r="AS64" s="127">
        <v>564000</v>
      </c>
      <c r="AT64" s="127">
        <f>SUM(AT8:AT63)</f>
        <v>27789.48</v>
      </c>
      <c r="AU64" s="130"/>
      <c r="AV64" s="127">
        <v>250000</v>
      </c>
      <c r="AW64" s="127">
        <f>SUM(AW9:AW63)</f>
        <v>93239</v>
      </c>
      <c r="AX64" s="127">
        <f>SUM(AX9:AX63)</f>
        <v>6901</v>
      </c>
      <c r="AY64" s="127">
        <v>2000000</v>
      </c>
      <c r="AZ64" s="127">
        <f>SUM(AZ8:AZ63)</f>
        <v>987626.6760000001</v>
      </c>
      <c r="BA64" s="130"/>
      <c r="BB64" s="127">
        <f aca="true" t="shared" si="2" ref="BB64:BK64">SUM(BB8:BB63)</f>
        <v>108180.54000000001</v>
      </c>
      <c r="BC64" s="127">
        <f t="shared" si="2"/>
        <v>12910.553</v>
      </c>
      <c r="BD64" s="127">
        <f t="shared" si="2"/>
        <v>999957</v>
      </c>
      <c r="BE64" s="127">
        <v>5000</v>
      </c>
      <c r="BF64" s="127">
        <f t="shared" si="2"/>
        <v>40664.179</v>
      </c>
      <c r="BG64" s="127">
        <f t="shared" si="2"/>
        <v>2574</v>
      </c>
      <c r="BH64" s="127">
        <f t="shared" si="2"/>
        <v>2652</v>
      </c>
      <c r="BI64" s="127">
        <f t="shared" si="2"/>
        <v>3276</v>
      </c>
      <c r="BJ64" s="127">
        <f t="shared" si="2"/>
        <v>11622.773000000001</v>
      </c>
      <c r="BK64" s="127">
        <f t="shared" si="2"/>
        <v>2534.722</v>
      </c>
      <c r="BL64" s="127">
        <f>SUM(BL8:BL63)</f>
        <v>224486.393</v>
      </c>
      <c r="BM64" s="127">
        <f>SUM(BM8:BM63)</f>
        <v>55753.412</v>
      </c>
      <c r="BN64" s="127">
        <f>SUM(BN8:BN63)</f>
        <v>29638.988</v>
      </c>
      <c r="BO64" s="127"/>
      <c r="BP64" s="127">
        <f>SUM(BP8:BP63)</f>
        <v>47038</v>
      </c>
      <c r="BQ64" s="127">
        <v>750000</v>
      </c>
      <c r="BR64" s="127">
        <f>SUM(BR8:BR63)</f>
        <v>83924.6</v>
      </c>
      <c r="BS64" s="127">
        <v>250000</v>
      </c>
      <c r="BT64" s="127"/>
      <c r="BU64" s="127">
        <v>4350000</v>
      </c>
      <c r="BV64" s="127">
        <f>SUM(BV8:BV63)</f>
        <v>14335</v>
      </c>
      <c r="BW64" s="127">
        <f>SUM(BW8:BW63)</f>
        <v>164035.342</v>
      </c>
      <c r="BX64" s="127"/>
      <c r="BY64" s="127">
        <f>SUM(BY8:BY63)</f>
        <v>144585.71399999998</v>
      </c>
      <c r="BZ64" s="127">
        <f>SUM(BZ8:BZ63)</f>
        <v>36909.133</v>
      </c>
      <c r="CA64" s="127">
        <f>SUM(CA8:CA63)</f>
        <v>41957.404</v>
      </c>
      <c r="CB64" s="127"/>
      <c r="CC64" s="127">
        <f>SUM(CC8:CC63)</f>
        <v>165688.982</v>
      </c>
      <c r="CD64" s="127">
        <f>SUM(CD8:CD63)</f>
        <v>143629.5</v>
      </c>
      <c r="CE64" s="127">
        <f>SUM(CE8:CE63)</f>
        <v>148384.06700000004</v>
      </c>
      <c r="CF64" s="130"/>
      <c r="CG64" s="127">
        <f>SUM(CG8:CG63)</f>
        <v>502637.546</v>
      </c>
      <c r="CH64" s="127"/>
      <c r="CI64" s="127">
        <f>SUM(CI8:CI63)</f>
        <v>37839.58600000001</v>
      </c>
      <c r="CJ64" s="130"/>
      <c r="CK64" s="127"/>
      <c r="CL64" s="130"/>
      <c r="CM64" s="127">
        <f>SUM(CM8:CM63)</f>
        <v>3429191.521</v>
      </c>
      <c r="CN64" s="130"/>
      <c r="CO64" s="127">
        <f>SUM(CO8:CO63)</f>
        <v>151076.32200000001</v>
      </c>
      <c r="CP64" s="130"/>
      <c r="CQ64" s="127">
        <f>SUM(CQ8:CQ63)</f>
        <v>60000</v>
      </c>
      <c r="CR64" s="127">
        <v>100000</v>
      </c>
      <c r="CS64" s="127">
        <f>SUM(CS8:CS63)</f>
        <v>742500</v>
      </c>
      <c r="CT64" s="127">
        <f>SUM(CT8:CT63)</f>
        <v>1205630.823</v>
      </c>
      <c r="CU64" s="130"/>
      <c r="CV64" s="127">
        <v>6600000</v>
      </c>
      <c r="CW64" s="130"/>
      <c r="CX64" s="284">
        <v>4400000</v>
      </c>
      <c r="CZ64" s="284">
        <f>SUM(CZ8:CZ63)</f>
        <v>800000</v>
      </c>
      <c r="DA64" s="130"/>
      <c r="DB64" s="130">
        <f>SUM(DB8:DB63)</f>
        <v>609204.55</v>
      </c>
      <c r="DC64" s="130"/>
      <c r="DD64" s="130">
        <f>SUM(DD8:DD63)</f>
        <v>800000</v>
      </c>
      <c r="DE64" s="130"/>
      <c r="DF64" s="127">
        <v>3123399.075</v>
      </c>
      <c r="DG64" s="130"/>
      <c r="DH64" s="127">
        <f>SUM(DH8:DH63)</f>
        <v>38254</v>
      </c>
    </row>
    <row r="65" spans="1:112" ht="12.75" hidden="1">
      <c r="A65" s="9" t="s">
        <v>146</v>
      </c>
      <c r="B65" s="118">
        <f>750000-B64</f>
        <v>109922</v>
      </c>
      <c r="C65" s="118">
        <f>19009+1898</f>
        <v>20907</v>
      </c>
      <c r="D65" s="9"/>
      <c r="E65" s="9">
        <v>271486</v>
      </c>
      <c r="F65" s="18"/>
      <c r="G65" s="9"/>
      <c r="H65" s="9"/>
      <c r="I65" s="18"/>
      <c r="J65" s="9"/>
      <c r="K65" s="9"/>
      <c r="L65" s="9"/>
      <c r="M65" s="18"/>
      <c r="N65" s="118"/>
      <c r="P65" s="118"/>
      <c r="Q65" s="118"/>
      <c r="R65" s="118"/>
      <c r="S65" s="18"/>
      <c r="T65" s="18"/>
      <c r="U65" s="18"/>
      <c r="V65" s="18">
        <f>100000-V64</f>
        <v>91516.797</v>
      </c>
      <c r="W65" s="18"/>
      <c r="X65" s="9"/>
      <c r="Y65" s="9"/>
      <c r="Z65" s="9"/>
      <c r="AA65" s="9"/>
      <c r="AB65" s="9"/>
      <c r="AC65" s="18"/>
      <c r="AD65" s="18"/>
      <c r="AE65" s="9">
        <v>2394</v>
      </c>
      <c r="AF65" s="9">
        <v>95046</v>
      </c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18"/>
      <c r="AV65" s="9"/>
      <c r="AW65" s="9">
        <f>242000-AW64</f>
        <v>148761</v>
      </c>
      <c r="AX65" s="9">
        <f>10000-AX64</f>
        <v>3099</v>
      </c>
      <c r="AY65" s="9"/>
      <c r="AZ65" s="9">
        <f>1000000-AZ64</f>
        <v>12373.323999999906</v>
      </c>
      <c r="BA65" s="18"/>
      <c r="BB65" s="9">
        <f>225000-BB64</f>
        <v>116819.45999999999</v>
      </c>
      <c r="BC65" s="9">
        <f>100000-BC64</f>
        <v>87089.447</v>
      </c>
      <c r="BD65" s="9">
        <f>1000000-BD64</f>
        <v>43</v>
      </c>
      <c r="BE65" s="9"/>
      <c r="BF65" s="9">
        <f>50000-BF64</f>
        <v>9335.821000000004</v>
      </c>
      <c r="BG65" s="9"/>
      <c r="BH65" s="9"/>
      <c r="BI65" s="9">
        <f>8750-(BG64+BH64+BI64)</f>
        <v>248</v>
      </c>
      <c r="BJ65" s="9">
        <f>20800-BJ64</f>
        <v>9177.226999999999</v>
      </c>
      <c r="BK65" s="9">
        <f>2800-BK64</f>
        <v>265.2779999999998</v>
      </c>
      <c r="BL65" s="9"/>
      <c r="BM65" s="9">
        <f>125000-BM64</f>
        <v>69246.588</v>
      </c>
      <c r="BN65" s="9">
        <f>30000-BN64</f>
        <v>361.0119999999988</v>
      </c>
      <c r="BO65" s="9"/>
      <c r="BP65" s="9">
        <f>50000-BP64</f>
        <v>2962</v>
      </c>
      <c r="BQ65" s="9"/>
      <c r="BR65" s="9">
        <f>200000-BR64</f>
        <v>116075.4</v>
      </c>
      <c r="BS65" s="9"/>
      <c r="BT65" s="9"/>
      <c r="BU65" s="9"/>
      <c r="BV65" s="9">
        <f>350000-BV64</f>
        <v>335665</v>
      </c>
      <c r="BW65" s="9"/>
      <c r="BX65" s="9"/>
      <c r="BY65" s="9"/>
      <c r="BZ65" s="9"/>
      <c r="CA65" s="9"/>
      <c r="CB65" s="9"/>
      <c r="CC65" s="9">
        <f>210000-CC64</f>
        <v>44311.01800000001</v>
      </c>
      <c r="CD65" s="9">
        <f>150000-CD64</f>
        <v>6370.5</v>
      </c>
      <c r="CE65" s="9">
        <f>150000-CE64</f>
        <v>1615.9329999999609</v>
      </c>
      <c r="CF65" s="18"/>
      <c r="CG65" s="18"/>
      <c r="CH65" s="18"/>
      <c r="CI65" s="9"/>
      <c r="CJ65" s="18"/>
      <c r="CK65" s="9"/>
      <c r="CL65" s="18"/>
      <c r="CM65" s="9"/>
      <c r="CN65" s="18"/>
      <c r="CO65" s="9"/>
      <c r="CP65" s="18"/>
      <c r="CQ65" s="9"/>
      <c r="CR65" s="9"/>
      <c r="CS65" s="9"/>
      <c r="CT65" s="9">
        <v>5000</v>
      </c>
      <c r="CU65" s="18"/>
      <c r="CV65" s="9"/>
      <c r="CW65" s="18"/>
      <c r="DA65" s="18"/>
      <c r="DB65" s="18"/>
      <c r="DC65" s="18"/>
      <c r="DD65" s="18"/>
      <c r="DE65" s="18"/>
      <c r="DF65" s="9"/>
      <c r="DG65" s="18"/>
      <c r="DH65" s="9">
        <f>59333-DH64</f>
        <v>21079</v>
      </c>
    </row>
    <row r="66" spans="2:112" ht="25.5">
      <c r="B66" s="134" t="s">
        <v>331</v>
      </c>
      <c r="C66" s="134" t="s">
        <v>560</v>
      </c>
      <c r="D66" s="134"/>
      <c r="E66" s="199" t="s">
        <v>463</v>
      </c>
      <c r="F66" s="134"/>
      <c r="G66" s="199" t="s">
        <v>566</v>
      </c>
      <c r="H66" s="199" t="s">
        <v>327</v>
      </c>
      <c r="I66" s="134"/>
      <c r="J66" s="134"/>
      <c r="K66" s="134"/>
      <c r="L66" s="134"/>
      <c r="M66" s="134"/>
      <c r="N66" s="248" t="s">
        <v>563</v>
      </c>
      <c r="O66" s="302"/>
      <c r="P66" s="248" t="s">
        <v>453</v>
      </c>
      <c r="Q66" s="248"/>
      <c r="R66" s="248" t="s">
        <v>605</v>
      </c>
      <c r="S66" s="134"/>
      <c r="T66" s="134" t="s">
        <v>410</v>
      </c>
      <c r="U66" s="134" t="s">
        <v>410</v>
      </c>
      <c r="V66" s="134"/>
      <c r="W66" s="134"/>
      <c r="X66" s="134"/>
      <c r="Y66" s="134"/>
      <c r="Z66" s="134"/>
      <c r="AA66" s="134"/>
      <c r="AB66" s="134"/>
      <c r="AC66" s="134"/>
      <c r="AD66" s="134"/>
      <c r="AE66" s="134" t="s">
        <v>307</v>
      </c>
      <c r="AF66" s="134" t="s">
        <v>307</v>
      </c>
      <c r="AG66" s="134" t="s">
        <v>328</v>
      </c>
      <c r="AH66" s="134" t="s">
        <v>625</v>
      </c>
      <c r="AI66" s="134" t="s">
        <v>379</v>
      </c>
      <c r="AJ66" s="134" t="s">
        <v>379</v>
      </c>
      <c r="AK66" s="134" t="s">
        <v>430</v>
      </c>
      <c r="AL66" s="134" t="s">
        <v>430</v>
      </c>
      <c r="AM66" s="134" t="s">
        <v>430</v>
      </c>
      <c r="AN66" s="134" t="s">
        <v>430</v>
      </c>
      <c r="AO66" s="134" t="s">
        <v>430</v>
      </c>
      <c r="AP66" s="134" t="s">
        <v>430</v>
      </c>
      <c r="AQ66" s="134" t="s">
        <v>379</v>
      </c>
      <c r="AR66" s="134"/>
      <c r="AS66" s="134"/>
      <c r="AT66" s="134" t="s">
        <v>618</v>
      </c>
      <c r="AU66" s="134"/>
      <c r="AV66" s="134"/>
      <c r="AW66" s="134" t="s">
        <v>329</v>
      </c>
      <c r="AX66" s="134" t="s">
        <v>329</v>
      </c>
      <c r="AY66" s="134"/>
      <c r="AZ66" s="134" t="s">
        <v>578</v>
      </c>
      <c r="BA66" s="134"/>
      <c r="BB66" s="222" t="s">
        <v>379</v>
      </c>
      <c r="BC66" s="134" t="s">
        <v>560</v>
      </c>
      <c r="BD66" s="134" t="s">
        <v>464</v>
      </c>
      <c r="BE66" s="127"/>
      <c r="BF66" s="134" t="s">
        <v>379</v>
      </c>
      <c r="BG66" s="134" t="s">
        <v>465</v>
      </c>
      <c r="BH66" s="134" t="s">
        <v>465</v>
      </c>
      <c r="BI66" s="134" t="s">
        <v>464</v>
      </c>
      <c r="BJ66" s="222" t="s">
        <v>333</v>
      </c>
      <c r="BK66" s="222" t="s">
        <v>333</v>
      </c>
      <c r="BL66" s="134" t="s">
        <v>436</v>
      </c>
      <c r="BM66" s="134" t="s">
        <v>436</v>
      </c>
      <c r="BN66" s="134" t="s">
        <v>379</v>
      </c>
      <c r="BO66" s="134"/>
      <c r="BP66" s="134" t="s">
        <v>329</v>
      </c>
      <c r="BQ66" s="134"/>
      <c r="BR66" s="134" t="s">
        <v>597</v>
      </c>
      <c r="BS66" s="134"/>
      <c r="BT66" s="134"/>
      <c r="BU66" s="134"/>
      <c r="BV66" s="134" t="s">
        <v>577</v>
      </c>
      <c r="BW66" s="134" t="s">
        <v>575</v>
      </c>
      <c r="BX66" s="134"/>
      <c r="BY66" s="134" t="s">
        <v>332</v>
      </c>
      <c r="BZ66" s="134" t="s">
        <v>466</v>
      </c>
      <c r="CA66" s="134" t="s">
        <v>467</v>
      </c>
      <c r="CB66" s="134"/>
      <c r="CC66" s="134" t="s">
        <v>410</v>
      </c>
      <c r="CD66" s="134" t="s">
        <v>410</v>
      </c>
      <c r="CE66" s="134" t="s">
        <v>410</v>
      </c>
      <c r="CF66" s="134"/>
      <c r="CG66" s="134" t="s">
        <v>330</v>
      </c>
      <c r="CH66" s="134"/>
      <c r="CI66" s="134" t="s">
        <v>279</v>
      </c>
      <c r="CJ66" s="134"/>
      <c r="CK66" s="134" t="s">
        <v>597</v>
      </c>
      <c r="CL66" s="134"/>
      <c r="CM66" s="134" t="s">
        <v>580</v>
      </c>
      <c r="CN66" s="134"/>
      <c r="CO66" s="134" t="s">
        <v>577</v>
      </c>
      <c r="CP66" s="134"/>
      <c r="CQ66" s="134" t="s">
        <v>460</v>
      </c>
      <c r="CR66" s="134" t="s">
        <v>558</v>
      </c>
      <c r="CS66" s="134" t="s">
        <v>468</v>
      </c>
      <c r="CT66" s="134">
        <v>40086</v>
      </c>
      <c r="CU66" s="134"/>
      <c r="CV66" s="134"/>
      <c r="CW66" s="134"/>
      <c r="CZ66" s="154" t="s">
        <v>580</v>
      </c>
      <c r="DA66" s="134"/>
      <c r="DB66" s="154" t="s">
        <v>580</v>
      </c>
      <c r="DC66" s="134"/>
      <c r="DD66" s="154" t="s">
        <v>580</v>
      </c>
      <c r="DE66" s="134"/>
      <c r="DF66" s="134" t="s">
        <v>582</v>
      </c>
      <c r="DG66" s="134"/>
      <c r="DH66" s="134" t="s">
        <v>329</v>
      </c>
    </row>
    <row r="67" spans="14:18" ht="12.75">
      <c r="N67" s="184"/>
      <c r="O67" s="303"/>
      <c r="P67" s="184"/>
      <c r="Q67" s="184"/>
      <c r="R67" s="184"/>
    </row>
    <row r="68" spans="1:55" ht="12.75">
      <c r="A68" s="166"/>
      <c r="G68" s="121"/>
      <c r="H68" s="121"/>
      <c r="N68" s="126"/>
      <c r="O68" s="197"/>
      <c r="P68" s="126"/>
      <c r="Q68" s="126"/>
      <c r="R68" s="126"/>
      <c r="BC68" s="146"/>
    </row>
    <row r="69" spans="1:177" s="231" customFormat="1" ht="255">
      <c r="A69" s="226" t="s">
        <v>313</v>
      </c>
      <c r="B69" s="228" t="s">
        <v>401</v>
      </c>
      <c r="C69" s="223" t="s">
        <v>569</v>
      </c>
      <c r="D69" s="223" t="s">
        <v>402</v>
      </c>
      <c r="E69" s="223" t="s">
        <v>403</v>
      </c>
      <c r="F69" s="226"/>
      <c r="G69" s="223" t="s">
        <v>568</v>
      </c>
      <c r="H69" s="223" t="s">
        <v>404</v>
      </c>
      <c r="I69" s="241"/>
      <c r="J69" s="223" t="s">
        <v>405</v>
      </c>
      <c r="K69" s="228" t="s">
        <v>405</v>
      </c>
      <c r="L69" s="223" t="s">
        <v>405</v>
      </c>
      <c r="M69" s="226"/>
      <c r="N69" s="253" t="s">
        <v>454</v>
      </c>
      <c r="O69" s="253"/>
      <c r="P69" s="253" t="s">
        <v>454</v>
      </c>
      <c r="Q69" s="253"/>
      <c r="R69" s="253" t="s">
        <v>604</v>
      </c>
      <c r="S69" s="226"/>
      <c r="T69" s="223" t="s">
        <v>411</v>
      </c>
      <c r="U69" s="223" t="s">
        <v>411</v>
      </c>
      <c r="V69" s="226"/>
      <c r="W69" s="226"/>
      <c r="X69" s="226"/>
      <c r="Y69" s="226"/>
      <c r="Z69" s="226"/>
      <c r="AA69" s="226"/>
      <c r="AB69" s="226"/>
      <c r="AC69" s="226"/>
      <c r="AD69" s="226"/>
      <c r="AE69" s="223" t="s">
        <v>335</v>
      </c>
      <c r="AF69" s="223" t="s">
        <v>336</v>
      </c>
      <c r="AG69" s="223" t="s">
        <v>620</v>
      </c>
      <c r="AH69" s="223" t="s">
        <v>624</v>
      </c>
      <c r="AI69" s="223" t="s">
        <v>452</v>
      </c>
      <c r="AJ69" s="223" t="s">
        <v>620</v>
      </c>
      <c r="AK69" s="223" t="s">
        <v>429</v>
      </c>
      <c r="AL69" s="223" t="s">
        <v>429</v>
      </c>
      <c r="AM69" s="223" t="s">
        <v>429</v>
      </c>
      <c r="AN69" s="223" t="s">
        <v>429</v>
      </c>
      <c r="AO69" s="223" t="s">
        <v>429</v>
      </c>
      <c r="AP69" s="223" t="s">
        <v>429</v>
      </c>
      <c r="AQ69" s="223" t="s">
        <v>432</v>
      </c>
      <c r="AR69" s="226"/>
      <c r="AS69" s="226"/>
      <c r="AT69" s="223" t="s">
        <v>617</v>
      </c>
      <c r="AU69" s="226"/>
      <c r="AV69" s="226"/>
      <c r="AW69" s="223" t="s">
        <v>435</v>
      </c>
      <c r="AX69" s="232" t="s">
        <v>435</v>
      </c>
      <c r="AY69" s="226"/>
      <c r="AZ69" s="223" t="s">
        <v>571</v>
      </c>
      <c r="BA69" s="226"/>
      <c r="BB69" s="223" t="s">
        <v>378</v>
      </c>
      <c r="BC69" s="223" t="s">
        <v>561</v>
      </c>
      <c r="BD69" s="223" t="s">
        <v>380</v>
      </c>
      <c r="BE69" s="226"/>
      <c r="BF69" s="223" t="s">
        <v>381</v>
      </c>
      <c r="BG69" s="223" t="s">
        <v>350</v>
      </c>
      <c r="BH69" s="228" t="s">
        <v>350</v>
      </c>
      <c r="BI69" s="223" t="s">
        <v>350</v>
      </c>
      <c r="BJ69" s="233" t="s">
        <v>381</v>
      </c>
      <c r="BK69" s="233" t="s">
        <v>381</v>
      </c>
      <c r="BL69" s="233" t="s">
        <v>375</v>
      </c>
      <c r="BM69" s="233" t="s">
        <v>376</v>
      </c>
      <c r="BN69" s="223" t="s">
        <v>377</v>
      </c>
      <c r="BO69" s="226"/>
      <c r="BP69" s="223" t="s">
        <v>383</v>
      </c>
      <c r="BQ69" s="226"/>
      <c r="BR69" s="223" t="s">
        <v>384</v>
      </c>
      <c r="BS69" s="226"/>
      <c r="BT69" s="226"/>
      <c r="BU69" s="226"/>
      <c r="BV69" s="223" t="s">
        <v>576</v>
      </c>
      <c r="BW69" s="223" t="s">
        <v>382</v>
      </c>
      <c r="BX69" s="226"/>
      <c r="BY69" s="223" t="s">
        <v>447</v>
      </c>
      <c r="BZ69" s="223" t="s">
        <v>446</v>
      </c>
      <c r="CA69" s="223" t="s">
        <v>445</v>
      </c>
      <c r="CB69" s="226"/>
      <c r="CC69" s="223" t="s">
        <v>570</v>
      </c>
      <c r="CD69" s="223" t="s">
        <v>570</v>
      </c>
      <c r="CE69" s="223" t="s">
        <v>570</v>
      </c>
      <c r="CF69" s="226"/>
      <c r="CG69" s="223" t="s">
        <v>444</v>
      </c>
      <c r="CH69" s="223"/>
      <c r="CI69" s="223" t="s">
        <v>443</v>
      </c>
      <c r="CJ69" s="223"/>
      <c r="CK69" s="223" t="s">
        <v>598</v>
      </c>
      <c r="CL69" s="226"/>
      <c r="CM69" s="223" t="s">
        <v>615</v>
      </c>
      <c r="CN69" s="226"/>
      <c r="CO69" s="223" t="s">
        <v>601</v>
      </c>
      <c r="CP69" s="226"/>
      <c r="CQ69" s="223" t="s">
        <v>461</v>
      </c>
      <c r="CR69" s="223" t="s">
        <v>559</v>
      </c>
      <c r="CS69" s="245" t="s">
        <v>462</v>
      </c>
      <c r="CT69" s="245" t="s">
        <v>612</v>
      </c>
      <c r="CU69" s="226"/>
      <c r="CV69" s="223" t="s">
        <v>583</v>
      </c>
      <c r="CW69" s="226"/>
      <c r="CX69" s="223" t="s">
        <v>583</v>
      </c>
      <c r="CZ69" s="259" t="s">
        <v>590</v>
      </c>
      <c r="DA69" s="223"/>
      <c r="DB69" s="259" t="s">
        <v>590</v>
      </c>
      <c r="DC69" s="223"/>
      <c r="DD69" s="259" t="s">
        <v>590</v>
      </c>
      <c r="DE69" s="223"/>
      <c r="DF69" s="223" t="s">
        <v>586</v>
      </c>
      <c r="DG69" s="226"/>
      <c r="DH69" s="223" t="s">
        <v>385</v>
      </c>
      <c r="DI69" s="226"/>
      <c r="DJ69" s="242"/>
      <c r="DK69" s="243"/>
      <c r="DL69" s="226"/>
      <c r="DM69" s="226"/>
      <c r="DN69" s="226"/>
      <c r="DO69" s="226"/>
      <c r="DP69" s="226"/>
      <c r="DQ69" s="226"/>
      <c r="DR69" s="226"/>
      <c r="DS69" s="226"/>
      <c r="DT69" s="226"/>
      <c r="DU69" s="226"/>
      <c r="DV69" s="226"/>
      <c r="DW69" s="226"/>
      <c r="DX69" s="226"/>
      <c r="DY69" s="226"/>
      <c r="DZ69" s="226"/>
      <c r="EA69" s="226"/>
      <c r="EB69" s="226"/>
      <c r="EC69" s="226"/>
      <c r="ED69" s="226"/>
      <c r="EE69" s="226"/>
      <c r="EF69" s="226"/>
      <c r="EG69" s="226"/>
      <c r="EH69" s="226"/>
      <c r="EI69" s="226"/>
      <c r="EJ69" s="226"/>
      <c r="EK69" s="226"/>
      <c r="EL69" s="226"/>
      <c r="EM69" s="226"/>
      <c r="EN69" s="226"/>
      <c r="EO69" s="226"/>
      <c r="EP69" s="226"/>
      <c r="EQ69" s="226"/>
      <c r="ER69" s="226"/>
      <c r="ES69" s="226"/>
      <c r="ET69" s="226"/>
      <c r="EU69" s="226"/>
      <c r="EV69" s="226"/>
      <c r="EW69" s="226"/>
      <c r="EX69" s="226"/>
      <c r="EY69" s="226"/>
      <c r="EZ69" s="226"/>
      <c r="FA69" s="226"/>
      <c r="FB69" s="226"/>
      <c r="FC69" s="226"/>
      <c r="FD69" s="226"/>
      <c r="FE69" s="226"/>
      <c r="FF69" s="226"/>
      <c r="FG69" s="226"/>
      <c r="FH69" s="287"/>
      <c r="FI69" s="260"/>
      <c r="FJ69" s="260"/>
      <c r="FK69" s="260"/>
      <c r="FL69" s="239"/>
      <c r="FM69" s="288"/>
      <c r="FN69" s="226"/>
      <c r="FQ69" s="226"/>
      <c r="FR69" s="226"/>
      <c r="FS69" s="226"/>
      <c r="FU69" s="239"/>
    </row>
    <row r="70" spans="1:177" s="231" customFormat="1" ht="15" customHeight="1">
      <c r="A70" s="226"/>
      <c r="B70" s="226"/>
      <c r="C70" s="226"/>
      <c r="D70" s="226"/>
      <c r="E70" s="226"/>
      <c r="F70" s="226"/>
      <c r="G70" s="226"/>
      <c r="H70" s="226"/>
      <c r="I70" s="226"/>
      <c r="J70" s="226"/>
      <c r="K70" s="226"/>
      <c r="L70" s="226"/>
      <c r="M70" s="226"/>
      <c r="N70" s="260"/>
      <c r="O70" s="260"/>
      <c r="P70" s="260"/>
      <c r="Q70" s="260"/>
      <c r="R70" s="260"/>
      <c r="S70" s="226"/>
      <c r="T70" s="226"/>
      <c r="U70" s="226"/>
      <c r="V70" s="226"/>
      <c r="W70" s="226"/>
      <c r="X70" s="226"/>
      <c r="Y70" s="226"/>
      <c r="Z70" s="226"/>
      <c r="AA70" s="226"/>
      <c r="AB70" s="226"/>
      <c r="AC70" s="226"/>
      <c r="AD70" s="226"/>
      <c r="AE70" s="226"/>
      <c r="AF70" s="226"/>
      <c r="AG70" s="226"/>
      <c r="AH70" s="226"/>
      <c r="AI70" s="226"/>
      <c r="AJ70" s="226"/>
      <c r="AK70" s="226"/>
      <c r="AL70" s="226"/>
      <c r="AM70" s="226"/>
      <c r="AN70" s="226"/>
      <c r="AO70" s="226"/>
      <c r="AP70" s="226"/>
      <c r="AQ70" s="226"/>
      <c r="AR70" s="226"/>
      <c r="AS70" s="226"/>
      <c r="AT70" s="226"/>
      <c r="AU70" s="226"/>
      <c r="AV70" s="226"/>
      <c r="AW70" s="226"/>
      <c r="AX70" s="226"/>
      <c r="AY70" s="226"/>
      <c r="AZ70" s="259"/>
      <c r="BA70" s="226"/>
      <c r="BB70" s="226"/>
      <c r="BC70" s="226"/>
      <c r="BD70" s="226"/>
      <c r="BE70" s="226"/>
      <c r="BF70" s="226"/>
      <c r="BG70" s="226"/>
      <c r="BH70" s="226"/>
      <c r="BI70" s="226"/>
      <c r="BJ70" s="229"/>
      <c r="BK70" s="229"/>
      <c r="BL70" s="229"/>
      <c r="BM70" s="229"/>
      <c r="BN70" s="226"/>
      <c r="BO70" s="226"/>
      <c r="BP70" s="226"/>
      <c r="BQ70" s="226"/>
      <c r="BR70" s="226"/>
      <c r="BS70" s="226"/>
      <c r="BT70" s="226"/>
      <c r="BU70" s="226"/>
      <c r="BV70" s="226"/>
      <c r="BW70" s="226"/>
      <c r="BX70" s="226"/>
      <c r="BY70" s="226"/>
      <c r="BZ70" s="226"/>
      <c r="CA70" s="226"/>
      <c r="CB70" s="226"/>
      <c r="CC70" s="226"/>
      <c r="CD70" s="223" t="s">
        <v>448</v>
      </c>
      <c r="CE70" s="226"/>
      <c r="CF70" s="226"/>
      <c r="CG70" s="226"/>
      <c r="CH70" s="226"/>
      <c r="CI70" s="226"/>
      <c r="CJ70" s="226"/>
      <c r="CK70" s="226"/>
      <c r="CL70" s="226"/>
      <c r="CM70" s="226"/>
      <c r="CN70" s="226"/>
      <c r="CO70" s="226"/>
      <c r="CP70" s="226"/>
      <c r="CQ70" s="226"/>
      <c r="CR70" s="226"/>
      <c r="CS70" s="260"/>
      <c r="CT70" s="260"/>
      <c r="CU70" s="226"/>
      <c r="CV70" s="226"/>
      <c r="CW70" s="226"/>
      <c r="CX70" s="226"/>
      <c r="CY70" s="226"/>
      <c r="CZ70" s="226"/>
      <c r="DA70" s="226"/>
      <c r="DB70" s="226"/>
      <c r="DC70" s="226"/>
      <c r="DD70" s="226"/>
      <c r="DE70" s="226"/>
      <c r="DF70" s="226"/>
      <c r="DG70" s="226"/>
      <c r="DH70" s="226"/>
      <c r="DI70" s="226"/>
      <c r="DJ70" s="242"/>
      <c r="DK70" s="242"/>
      <c r="DL70" s="226"/>
      <c r="DM70" s="226"/>
      <c r="DN70" s="226"/>
      <c r="DO70" s="226"/>
      <c r="DP70" s="226"/>
      <c r="DQ70" s="226"/>
      <c r="DR70" s="226"/>
      <c r="DS70" s="226"/>
      <c r="DT70" s="226"/>
      <c r="DU70" s="226"/>
      <c r="DV70" s="226"/>
      <c r="DW70" s="226"/>
      <c r="DX70" s="226"/>
      <c r="DY70" s="226"/>
      <c r="DZ70" s="226"/>
      <c r="EA70" s="226"/>
      <c r="EB70" s="226"/>
      <c r="EC70" s="226"/>
      <c r="ED70" s="226"/>
      <c r="EE70" s="226"/>
      <c r="EF70" s="226"/>
      <c r="EG70" s="226"/>
      <c r="EH70" s="226"/>
      <c r="EI70" s="226"/>
      <c r="EJ70" s="226"/>
      <c r="EK70" s="226"/>
      <c r="EL70" s="226"/>
      <c r="EM70" s="226"/>
      <c r="EN70" s="226"/>
      <c r="EO70" s="226"/>
      <c r="EP70" s="226"/>
      <c r="EQ70" s="226"/>
      <c r="ER70" s="226"/>
      <c r="ES70" s="226"/>
      <c r="ET70" s="226"/>
      <c r="EU70" s="226"/>
      <c r="EV70" s="226"/>
      <c r="EW70" s="226"/>
      <c r="EX70" s="226"/>
      <c r="EY70" s="226"/>
      <c r="EZ70" s="226"/>
      <c r="FA70" s="226"/>
      <c r="FB70" s="226"/>
      <c r="FC70" s="226"/>
      <c r="FD70" s="226"/>
      <c r="FE70" s="226"/>
      <c r="FF70" s="226"/>
      <c r="FG70" s="226"/>
      <c r="FH70" s="289"/>
      <c r="FI70" s="260"/>
      <c r="FJ70" s="260"/>
      <c r="FK70" s="260"/>
      <c r="FL70" s="239"/>
      <c r="FM70" s="239"/>
      <c r="FN70" s="226"/>
      <c r="FQ70" s="226"/>
      <c r="FR70" s="226"/>
      <c r="FS70" s="226"/>
      <c r="FU70" s="239"/>
    </row>
    <row r="71" spans="1:177" s="13" customFormat="1" ht="12.75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97"/>
      <c r="O71" s="197"/>
      <c r="P71" s="197"/>
      <c r="Q71" s="197"/>
      <c r="R71" s="197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33"/>
      <c r="BE71" s="17"/>
      <c r="BF71" s="17"/>
      <c r="BG71" s="17"/>
      <c r="BH71" s="17"/>
      <c r="BI71" s="17"/>
      <c r="BJ71" s="26"/>
      <c r="BK71" s="26"/>
      <c r="BL71" s="26"/>
      <c r="BM71" s="26"/>
      <c r="BN71" s="17"/>
      <c r="BO71" s="17"/>
      <c r="BP71" s="17"/>
      <c r="BQ71" s="17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97"/>
      <c r="CT71" s="197"/>
      <c r="CU71" s="16"/>
      <c r="CV71" s="16"/>
      <c r="CW71" s="16"/>
      <c r="CX71" s="16"/>
      <c r="CY71" s="16"/>
      <c r="CZ71" s="16"/>
      <c r="DA71" s="16"/>
      <c r="DB71" s="16"/>
      <c r="DC71" s="16"/>
      <c r="DD71" s="16"/>
      <c r="DE71" s="16"/>
      <c r="DF71" s="16"/>
      <c r="DG71" s="16"/>
      <c r="DH71" s="17"/>
      <c r="DI71" s="16"/>
      <c r="DJ71" s="17"/>
      <c r="DK71" s="17"/>
      <c r="DL71" s="17"/>
      <c r="DM71" s="17"/>
      <c r="DN71" s="17"/>
      <c r="DO71" s="17"/>
      <c r="DP71" s="17"/>
      <c r="DQ71" s="17"/>
      <c r="DR71" s="17"/>
      <c r="DS71" s="17"/>
      <c r="DT71" s="17"/>
      <c r="DU71" s="17"/>
      <c r="DV71" s="17"/>
      <c r="DW71" s="17"/>
      <c r="DX71" s="17"/>
      <c r="DY71" s="17"/>
      <c r="DZ71" s="17"/>
      <c r="EA71" s="17"/>
      <c r="EB71" s="17"/>
      <c r="EC71" s="17"/>
      <c r="ED71" s="17"/>
      <c r="EE71" s="17"/>
      <c r="EF71" s="17"/>
      <c r="EG71" s="17"/>
      <c r="EH71" s="17"/>
      <c r="EI71" s="17"/>
      <c r="EJ71" s="17"/>
      <c r="EK71" s="17"/>
      <c r="EL71" s="17"/>
      <c r="EM71" s="17"/>
      <c r="EN71" s="17"/>
      <c r="EO71" s="17"/>
      <c r="EP71" s="17"/>
      <c r="EQ71" s="17"/>
      <c r="ER71" s="17"/>
      <c r="ES71" s="17"/>
      <c r="ET71" s="17"/>
      <c r="EU71" s="17"/>
      <c r="EV71" s="17"/>
      <c r="EW71" s="17"/>
      <c r="EX71" s="17"/>
      <c r="EY71" s="17"/>
      <c r="EZ71" s="17"/>
      <c r="FA71" s="17"/>
      <c r="FB71" s="17"/>
      <c r="FC71" s="17"/>
      <c r="FD71" s="17"/>
      <c r="FE71" s="17"/>
      <c r="FF71" s="17"/>
      <c r="FG71" s="17"/>
      <c r="FH71" s="290"/>
      <c r="FI71" s="197"/>
      <c r="FJ71" s="197"/>
      <c r="FK71" s="291"/>
      <c r="FL71" s="126"/>
      <c r="FM71" s="126"/>
      <c r="FN71" s="16"/>
      <c r="FQ71" s="16"/>
      <c r="FR71" s="16"/>
      <c r="FS71" s="16"/>
      <c r="FU71" s="126"/>
    </row>
    <row r="72" spans="1:177" s="13" customFormat="1" ht="12.75" hidden="1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97"/>
      <c r="O72" s="197"/>
      <c r="P72" s="197"/>
      <c r="Q72" s="197"/>
      <c r="R72" s="197"/>
      <c r="S72" s="16"/>
      <c r="T72" s="16"/>
      <c r="U72" s="16"/>
      <c r="V72" s="16"/>
      <c r="W72" s="16"/>
      <c r="X72" s="16"/>
      <c r="Y72" s="58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25"/>
      <c r="BK72" s="25"/>
      <c r="BL72" s="25"/>
      <c r="BM72" s="25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97"/>
      <c r="CT72" s="197"/>
      <c r="CU72" s="16"/>
      <c r="CV72" s="16"/>
      <c r="CW72" s="16"/>
      <c r="CX72" s="16"/>
      <c r="CY72" s="16"/>
      <c r="CZ72" s="16"/>
      <c r="DA72" s="16"/>
      <c r="DB72" s="16"/>
      <c r="DC72" s="16"/>
      <c r="DD72" s="16"/>
      <c r="DE72" s="16"/>
      <c r="DF72" s="16"/>
      <c r="DG72" s="16"/>
      <c r="DH72" s="18"/>
      <c r="DI72" s="16"/>
      <c r="DJ72" s="16"/>
      <c r="DK72" s="16"/>
      <c r="DL72" s="16"/>
      <c r="DM72" s="18"/>
      <c r="DN72" s="18"/>
      <c r="DO72" s="18"/>
      <c r="DP72" s="18"/>
      <c r="DQ72" s="18"/>
      <c r="DR72" s="18"/>
      <c r="DS72" s="18"/>
      <c r="DT72" s="18"/>
      <c r="DU72" s="18"/>
      <c r="DV72" s="18"/>
      <c r="DW72" s="18"/>
      <c r="DX72" s="18"/>
      <c r="DY72" s="18"/>
      <c r="DZ72" s="18"/>
      <c r="EA72" s="18"/>
      <c r="EB72" s="18"/>
      <c r="EC72" s="18"/>
      <c r="ED72" s="18"/>
      <c r="EE72" s="18"/>
      <c r="EF72" s="18"/>
      <c r="EG72" s="18"/>
      <c r="EH72" s="18"/>
      <c r="EI72" s="18"/>
      <c r="EJ72" s="18"/>
      <c r="EK72" s="18"/>
      <c r="EL72" s="18"/>
      <c r="EM72" s="18"/>
      <c r="EN72" s="18"/>
      <c r="EO72" s="18"/>
      <c r="EP72" s="18"/>
      <c r="EQ72" s="18"/>
      <c r="ER72" s="18"/>
      <c r="ES72" s="18"/>
      <c r="ET72" s="18"/>
      <c r="EU72" s="18"/>
      <c r="EV72" s="18"/>
      <c r="EW72" s="18"/>
      <c r="EX72" s="18"/>
      <c r="EY72" s="18"/>
      <c r="EZ72" s="18"/>
      <c r="FA72" s="18"/>
      <c r="FB72" s="18"/>
      <c r="FC72" s="18"/>
      <c r="FD72" s="18"/>
      <c r="FE72" s="18"/>
      <c r="FF72" s="18"/>
      <c r="FG72" s="18"/>
      <c r="FH72" s="184"/>
      <c r="FI72" s="197"/>
      <c r="FJ72" s="197"/>
      <c r="FK72" s="197"/>
      <c r="FL72" s="126"/>
      <c r="FM72" s="126"/>
      <c r="FN72" s="16"/>
      <c r="FQ72" s="16"/>
      <c r="FR72" s="16"/>
      <c r="FS72" s="16"/>
      <c r="FU72" s="126"/>
    </row>
    <row r="73" spans="1:177" s="13" customFormat="1" ht="12.75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97"/>
      <c r="O73" s="197"/>
      <c r="P73" s="197"/>
      <c r="Q73" s="197"/>
      <c r="R73" s="197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32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25"/>
      <c r="BK73" s="25"/>
      <c r="BL73" s="25"/>
      <c r="BM73" s="25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16"/>
      <c r="CJ73" s="16"/>
      <c r="CK73" s="16"/>
      <c r="CL73" s="16"/>
      <c r="CM73" s="16"/>
      <c r="CN73" s="16"/>
      <c r="CO73" s="16"/>
      <c r="CP73" s="16"/>
      <c r="CQ73" s="16"/>
      <c r="CR73" s="16"/>
      <c r="CS73" s="197"/>
      <c r="CT73" s="197"/>
      <c r="CU73" s="16"/>
      <c r="CV73" s="16"/>
      <c r="CW73" s="16"/>
      <c r="CX73" s="16"/>
      <c r="CY73" s="16"/>
      <c r="CZ73" s="16"/>
      <c r="DA73" s="16"/>
      <c r="DB73" s="16"/>
      <c r="DC73" s="16"/>
      <c r="DD73" s="16"/>
      <c r="DE73" s="16"/>
      <c r="DF73" s="16"/>
      <c r="DG73" s="16"/>
      <c r="DH73" s="18"/>
      <c r="DI73" s="16"/>
      <c r="DJ73" s="16"/>
      <c r="DK73" s="16"/>
      <c r="DL73" s="16"/>
      <c r="DM73" s="18"/>
      <c r="DN73" s="18"/>
      <c r="DO73" s="18"/>
      <c r="DP73" s="18"/>
      <c r="DQ73" s="18"/>
      <c r="DR73" s="18"/>
      <c r="DS73" s="18"/>
      <c r="DT73" s="18"/>
      <c r="DU73" s="18"/>
      <c r="DV73" s="18"/>
      <c r="DW73" s="18"/>
      <c r="DX73" s="18"/>
      <c r="DY73" s="18"/>
      <c r="DZ73" s="18"/>
      <c r="EA73" s="18"/>
      <c r="EB73" s="18"/>
      <c r="EC73" s="18"/>
      <c r="ED73" s="18"/>
      <c r="EE73" s="18"/>
      <c r="EF73" s="18"/>
      <c r="EG73" s="18"/>
      <c r="EH73" s="18"/>
      <c r="EI73" s="18"/>
      <c r="EJ73" s="18"/>
      <c r="EK73" s="18"/>
      <c r="EL73" s="18"/>
      <c r="EM73" s="18"/>
      <c r="EN73" s="18"/>
      <c r="EO73" s="18"/>
      <c r="EP73" s="18"/>
      <c r="EQ73" s="18"/>
      <c r="ER73" s="18"/>
      <c r="ES73" s="18"/>
      <c r="ET73" s="18"/>
      <c r="EU73" s="18"/>
      <c r="EV73" s="18"/>
      <c r="EW73" s="18"/>
      <c r="EX73" s="18"/>
      <c r="EY73" s="18"/>
      <c r="EZ73" s="18"/>
      <c r="FA73" s="18"/>
      <c r="FB73" s="18"/>
      <c r="FC73" s="18"/>
      <c r="FD73" s="18"/>
      <c r="FE73" s="18"/>
      <c r="FF73" s="18"/>
      <c r="FG73" s="18"/>
      <c r="FH73" s="184"/>
      <c r="FI73" s="197"/>
      <c r="FJ73" s="197"/>
      <c r="FK73" s="197"/>
      <c r="FL73" s="126"/>
      <c r="FM73" s="126"/>
      <c r="FN73" s="16"/>
      <c r="FQ73" s="16"/>
      <c r="FR73" s="16"/>
      <c r="FS73" s="16"/>
      <c r="FU73" s="126"/>
    </row>
    <row r="74" spans="1:177" s="231" customFormat="1" ht="38.25">
      <c r="A74" s="226" t="s">
        <v>314</v>
      </c>
      <c r="B74" s="226"/>
      <c r="C74" s="226"/>
      <c r="D74" s="226"/>
      <c r="E74" s="226"/>
      <c r="F74" s="226"/>
      <c r="G74" s="226"/>
      <c r="H74" s="226"/>
      <c r="I74" s="226"/>
      <c r="J74" s="226"/>
      <c r="K74" s="226"/>
      <c r="L74" s="226"/>
      <c r="M74" s="226"/>
      <c r="N74" s="260"/>
      <c r="O74" s="260"/>
      <c r="P74" s="260"/>
      <c r="Q74" s="260"/>
      <c r="R74" s="260"/>
      <c r="S74" s="226"/>
      <c r="T74" s="226"/>
      <c r="U74" s="226"/>
      <c r="V74" s="226"/>
      <c r="W74" s="226"/>
      <c r="X74" s="226"/>
      <c r="Y74" s="226"/>
      <c r="Z74" s="226"/>
      <c r="AA74" s="226"/>
      <c r="AB74" s="226"/>
      <c r="AC74" s="226"/>
      <c r="AD74" s="226"/>
      <c r="AE74" s="226" t="s">
        <v>337</v>
      </c>
      <c r="AF74" s="226" t="s">
        <v>338</v>
      </c>
      <c r="AG74" s="226"/>
      <c r="AH74" s="226"/>
      <c r="AI74" s="226"/>
      <c r="AJ74" s="226"/>
      <c r="AK74" s="226"/>
      <c r="AL74" s="226"/>
      <c r="AM74" s="226"/>
      <c r="AN74" s="226"/>
      <c r="AO74" s="226"/>
      <c r="AP74" s="226"/>
      <c r="AQ74" s="226"/>
      <c r="AR74" s="226"/>
      <c r="AS74" s="226"/>
      <c r="AT74" s="226"/>
      <c r="AU74" s="226"/>
      <c r="AV74" s="226"/>
      <c r="AW74" s="226"/>
      <c r="AX74" s="226"/>
      <c r="AY74" s="226"/>
      <c r="AZ74" s="226"/>
      <c r="BA74" s="226"/>
      <c r="BB74" s="226"/>
      <c r="BC74" s="226"/>
      <c r="BD74" s="226"/>
      <c r="BE74" s="226"/>
      <c r="BF74" s="226"/>
      <c r="BG74" s="226"/>
      <c r="BH74" s="226"/>
      <c r="BI74" s="226"/>
      <c r="BJ74" s="229"/>
      <c r="BK74" s="229"/>
      <c r="BL74" s="229"/>
      <c r="BM74" s="229"/>
      <c r="BN74" s="226"/>
      <c r="BO74" s="226"/>
      <c r="BP74" s="226"/>
      <c r="BQ74" s="226"/>
      <c r="BR74" s="226"/>
      <c r="BS74" s="226"/>
      <c r="BT74" s="226"/>
      <c r="BU74" s="226"/>
      <c r="BV74" s="226"/>
      <c r="BW74" s="226"/>
      <c r="BX74" s="226"/>
      <c r="BY74" s="226"/>
      <c r="BZ74" s="226"/>
      <c r="CA74" s="226"/>
      <c r="CB74" s="226"/>
      <c r="CC74" s="232" t="s">
        <v>519</v>
      </c>
      <c r="CD74" s="232" t="s">
        <v>520</v>
      </c>
      <c r="CE74" s="232" t="s">
        <v>521</v>
      </c>
      <c r="CF74" s="226"/>
      <c r="CG74" s="226"/>
      <c r="CH74" s="226"/>
      <c r="CI74" s="226"/>
      <c r="CJ74" s="226"/>
      <c r="CK74" s="226"/>
      <c r="CL74" s="226"/>
      <c r="CM74" s="226"/>
      <c r="CN74" s="226"/>
      <c r="CO74" s="226"/>
      <c r="CP74" s="226"/>
      <c r="CQ74" s="226"/>
      <c r="CR74" s="226"/>
      <c r="CS74" s="260"/>
      <c r="CT74" s="260"/>
      <c r="CU74" s="226"/>
      <c r="CV74" s="223" t="s">
        <v>583</v>
      </c>
      <c r="CW74" s="226"/>
      <c r="CX74" s="223" t="s">
        <v>583</v>
      </c>
      <c r="CY74" s="226"/>
      <c r="CZ74" s="223" t="s">
        <v>589</v>
      </c>
      <c r="DA74" s="226"/>
      <c r="DB74" s="223" t="s">
        <v>589</v>
      </c>
      <c r="DC74" s="226"/>
      <c r="DD74" s="223" t="s">
        <v>589</v>
      </c>
      <c r="DE74" s="226"/>
      <c r="DF74" s="226"/>
      <c r="DG74" s="226"/>
      <c r="DH74" s="236"/>
      <c r="DI74" s="226"/>
      <c r="DJ74" s="226"/>
      <c r="DK74" s="226"/>
      <c r="DL74" s="226"/>
      <c r="DM74" s="236"/>
      <c r="DN74" s="236"/>
      <c r="DO74" s="236"/>
      <c r="DP74" s="236"/>
      <c r="DQ74" s="236"/>
      <c r="DR74" s="236"/>
      <c r="DS74" s="236"/>
      <c r="DT74" s="236"/>
      <c r="DU74" s="236"/>
      <c r="DV74" s="236"/>
      <c r="DW74" s="236"/>
      <c r="DX74" s="236"/>
      <c r="DY74" s="236"/>
      <c r="DZ74" s="236"/>
      <c r="EA74" s="236"/>
      <c r="EB74" s="236"/>
      <c r="EC74" s="236"/>
      <c r="ED74" s="236"/>
      <c r="EE74" s="236"/>
      <c r="EF74" s="236"/>
      <c r="EG74" s="236"/>
      <c r="EH74" s="236"/>
      <c r="EI74" s="236"/>
      <c r="EJ74" s="236"/>
      <c r="EK74" s="236"/>
      <c r="EL74" s="236"/>
      <c r="EM74" s="236"/>
      <c r="EN74" s="236"/>
      <c r="EO74" s="236"/>
      <c r="EP74" s="236"/>
      <c r="EQ74" s="236"/>
      <c r="ER74" s="236"/>
      <c r="ES74" s="236"/>
      <c r="ET74" s="236"/>
      <c r="EU74" s="236"/>
      <c r="EV74" s="236"/>
      <c r="EW74" s="236"/>
      <c r="EX74" s="236"/>
      <c r="EY74" s="236"/>
      <c r="EZ74" s="236"/>
      <c r="FA74" s="236"/>
      <c r="FB74" s="236"/>
      <c r="FC74" s="236"/>
      <c r="FD74" s="236"/>
      <c r="FE74" s="236"/>
      <c r="FF74" s="236"/>
      <c r="FG74" s="236"/>
      <c r="FH74" s="292"/>
      <c r="FI74" s="260"/>
      <c r="FJ74" s="260"/>
      <c r="FK74" s="260"/>
      <c r="FL74" s="239"/>
      <c r="FM74" s="239"/>
      <c r="FN74" s="226"/>
      <c r="FQ74" s="226"/>
      <c r="FR74" s="226"/>
      <c r="FS74" s="226"/>
      <c r="FU74" s="239"/>
    </row>
    <row r="75" spans="1:70" s="261" customFormat="1" ht="12.75">
      <c r="A75" s="236"/>
      <c r="E75" s="262"/>
      <c r="F75" s="262"/>
      <c r="N75" s="263"/>
      <c r="O75" s="263"/>
      <c r="P75" s="263"/>
      <c r="Q75" s="263"/>
      <c r="R75" s="263"/>
      <c r="BR75" s="263"/>
    </row>
    <row r="76" spans="1:97" s="261" customFormat="1" ht="51">
      <c r="A76" s="236" t="s">
        <v>555</v>
      </c>
      <c r="E76" s="262"/>
      <c r="F76" s="262"/>
      <c r="N76" s="305" t="s">
        <v>606</v>
      </c>
      <c r="O76" s="263"/>
      <c r="P76" s="305" t="s">
        <v>606</v>
      </c>
      <c r="Q76" s="263"/>
      <c r="R76" s="305" t="s">
        <v>606</v>
      </c>
      <c r="T76" s="256" t="s">
        <v>535</v>
      </c>
      <c r="BP76" s="246" t="s">
        <v>472</v>
      </c>
      <c r="BQ76" s="246" t="s">
        <v>472</v>
      </c>
      <c r="BR76" s="246" t="s">
        <v>472</v>
      </c>
      <c r="BW76" s="256" t="s">
        <v>572</v>
      </c>
      <c r="BZ76" s="256" t="s">
        <v>518</v>
      </c>
      <c r="CC76" s="223"/>
      <c r="CD76" s="223"/>
      <c r="CE76" s="223"/>
      <c r="CS76" s="256" t="s">
        <v>613</v>
      </c>
    </row>
    <row r="77" spans="1:70" s="261" customFormat="1" ht="12.75">
      <c r="A77" s="236"/>
      <c r="E77" s="262"/>
      <c r="F77" s="262"/>
      <c r="N77" s="263"/>
      <c r="O77" s="263"/>
      <c r="P77" s="263"/>
      <c r="Q77" s="263"/>
      <c r="R77" s="263"/>
      <c r="BP77" s="255"/>
      <c r="BQ77" s="255"/>
      <c r="BR77" s="255"/>
    </row>
    <row r="78" spans="1:70" s="261" customFormat="1" ht="16.5" customHeight="1">
      <c r="A78" s="236"/>
      <c r="E78" s="262"/>
      <c r="F78" s="262"/>
      <c r="N78" s="263"/>
      <c r="O78" s="263"/>
      <c r="P78" s="263"/>
      <c r="Q78" s="263"/>
      <c r="R78" s="263"/>
      <c r="BP78" s="246" t="s">
        <v>534</v>
      </c>
      <c r="BQ78" s="246" t="s">
        <v>534</v>
      </c>
      <c r="BR78" s="246" t="s">
        <v>534</v>
      </c>
    </row>
    <row r="79" spans="1:70" s="261" customFormat="1" ht="12.75">
      <c r="A79" s="236"/>
      <c r="E79" s="262"/>
      <c r="F79" s="262"/>
      <c r="N79" s="263"/>
      <c r="O79" s="263"/>
      <c r="P79" s="263"/>
      <c r="Q79" s="263"/>
      <c r="R79" s="263"/>
      <c r="BR79" s="263"/>
    </row>
    <row r="80" spans="1:83" s="261" customFormat="1" ht="56.25" customHeight="1">
      <c r="A80" s="236" t="s">
        <v>574</v>
      </c>
      <c r="E80" s="262"/>
      <c r="F80" s="262"/>
      <c r="N80" s="263"/>
      <c r="O80" s="263"/>
      <c r="P80" s="263"/>
      <c r="Q80" s="263"/>
      <c r="R80" s="263"/>
      <c r="BR80" s="263"/>
      <c r="BW80" s="256" t="s">
        <v>573</v>
      </c>
      <c r="CC80" s="256"/>
      <c r="CD80" s="256"/>
      <c r="CE80" s="256"/>
    </row>
    <row r="81" ht="12.75">
      <c r="A81" s="18"/>
    </row>
    <row r="82" ht="12.75">
      <c r="A82" s="18"/>
    </row>
    <row r="83" spans="1:61" ht="12.75">
      <c r="A83" s="165" t="s">
        <v>68</v>
      </c>
      <c r="G83" s="121"/>
      <c r="H83" s="121"/>
      <c r="AW83" s="121"/>
      <c r="AX83" s="121"/>
      <c r="BD83" s="146"/>
      <c r="BI83" s="146"/>
    </row>
    <row r="84" ht="12.75">
      <c r="A84" s="18"/>
    </row>
    <row r="85" ht="12.75">
      <c r="A85" s="18"/>
    </row>
    <row r="86" ht="12.75">
      <c r="A86" s="18"/>
    </row>
    <row r="87" ht="12.75">
      <c r="A87" s="18"/>
    </row>
    <row r="88" ht="12.75">
      <c r="A88" s="18"/>
    </row>
    <row r="89" ht="12.75">
      <c r="A89" s="18"/>
    </row>
    <row r="90" ht="12.75">
      <c r="A90" s="18"/>
    </row>
    <row r="91" ht="12.75">
      <c r="A91" s="18"/>
    </row>
    <row r="92" ht="12.75">
      <c r="A92" s="18"/>
    </row>
    <row r="93" ht="12.75">
      <c r="A93" s="18"/>
    </row>
    <row r="94" ht="12.75">
      <c r="A94" s="18"/>
    </row>
    <row r="95" ht="12.75">
      <c r="A95" s="18"/>
    </row>
    <row r="96" ht="12.75">
      <c r="A96" s="18"/>
    </row>
    <row r="97" ht="12.75">
      <c r="A97" s="18"/>
    </row>
    <row r="98" ht="12.75">
      <c r="A98" s="18"/>
    </row>
    <row r="99" spans="1:48" ht="12.75">
      <c r="A99" s="18"/>
      <c r="AV99" s="162"/>
    </row>
    <row r="100" spans="1:48" ht="12.75">
      <c r="A100" s="18"/>
      <c r="AV100" s="162"/>
    </row>
    <row r="101" spans="1:48" ht="12.75">
      <c r="A101" s="18"/>
      <c r="AV101" s="162"/>
    </row>
    <row r="102" ht="12.75">
      <c r="A102" s="18"/>
    </row>
    <row r="103" ht="12.75">
      <c r="A103" s="18"/>
    </row>
    <row r="104" ht="12.75">
      <c r="A104" s="18"/>
    </row>
    <row r="105" ht="12.75">
      <c r="A105" s="18"/>
    </row>
    <row r="106" ht="12.75">
      <c r="A106" s="18"/>
    </row>
    <row r="107" ht="12.75">
      <c r="A107" s="18"/>
    </row>
    <row r="108" ht="12.75">
      <c r="A108" s="18"/>
    </row>
    <row r="109" ht="12.75">
      <c r="A109" s="18"/>
    </row>
    <row r="110" ht="12.75">
      <c r="A110" s="18"/>
    </row>
    <row r="111" ht="12.75">
      <c r="A111" s="18"/>
    </row>
    <row r="112" ht="12.75">
      <c r="A112" s="18"/>
    </row>
    <row r="113" ht="12.75">
      <c r="A113" s="18"/>
    </row>
    <row r="114" ht="12.75">
      <c r="A114" s="18"/>
    </row>
    <row r="115" ht="12.75">
      <c r="A115" s="18"/>
    </row>
    <row r="116" ht="12.75">
      <c r="A116" s="18"/>
    </row>
  </sheetData>
  <sheetProtection/>
  <mergeCells count="19">
    <mergeCell ref="AV5:AV6"/>
    <mergeCell ref="AW5:AW6"/>
    <mergeCell ref="AY5:AY6"/>
    <mergeCell ref="DH3:DH4"/>
    <mergeCell ref="BP4:BS4"/>
    <mergeCell ref="CQ3:CT4"/>
    <mergeCell ref="CC4:CE4"/>
    <mergeCell ref="BD5:BD6"/>
    <mergeCell ref="CV4:DF4"/>
    <mergeCell ref="CG4:CO4"/>
    <mergeCell ref="B4:E4"/>
    <mergeCell ref="X4:AB4"/>
    <mergeCell ref="AE4:AT4"/>
    <mergeCell ref="BU4:BW4"/>
    <mergeCell ref="AV4:AZ4"/>
    <mergeCell ref="BB4:BN4"/>
    <mergeCell ref="T4:V4"/>
    <mergeCell ref="G4:H4"/>
    <mergeCell ref="N4:R4"/>
  </mergeCells>
  <hyperlinks>
    <hyperlink ref="BL69" r:id="rId1" display="http://www.ojp.usdoj.gov/recovery/Tribalcorrectional_Awards.htm"/>
    <hyperlink ref="BM69" r:id="rId2" display="http://www.ojp.usdoj.gov/recovery/RLEA_Awards.htm"/>
    <hyperlink ref="BN69" r:id="rId3" display="http://www.ojp.usdoj.gov/recovery/HIDTA_Awards.htm"/>
    <hyperlink ref="BD69" r:id="rId4" display="http://www.cops.usdoj.gov/Default.asp?Item=2208"/>
    <hyperlink ref="BK69" r:id="rId5" display="http://www.ovw.usdoj.gov/recovery-awards.htm"/>
    <hyperlink ref="BJ69" r:id="rId6" display="http://www.ovw.usdoj.gov/recovery-awards.htm"/>
    <hyperlink ref="BF69" r:id="rId7" display="http://www.ovw.usdoj.gov/recovery-awards.htm"/>
    <hyperlink ref="BG69" r:id="rId8" display="http://www.ovw.usdoj.gov/recovery-grants-awards.htm"/>
    <hyperlink ref="BH69" r:id="rId9" display="http://www.ovw.usdoj.gov/recovery-grants-awards.htm"/>
    <hyperlink ref="BI69" r:id="rId10" display="http://www.ovw.usdoj.gov/recovery-grants-awards.htm"/>
    <hyperlink ref="BW69" r:id="rId11" display="http://www.eda.gov/NewsEvents/NewInvestments.xml"/>
    <hyperlink ref="BP69" r:id="rId12" display="http://www.doleta.gov/youth_services/pdf/Complete_YouthBuild_Grants_2009_List.pdf"/>
    <hyperlink ref="BR69" r:id="rId13" display="http://www.doleta.gov/Recovery/news.cfm"/>
    <hyperlink ref="DH69" r:id="rId14" display="http://www.nationalservice.gov/about/newsroom/releases_detail.asp?tbl_pr_id=1340#ARGSC"/>
    <hyperlink ref="D69" r:id="rId15" display="http://recovery.doi.gov/press/wp-content/uploads/2009/05/blm-recovery-act-projects.pdf"/>
    <hyperlink ref="E69" r:id="rId16" display="http://recovery.doi.gov/docs/bor/project_list_summary.pdf"/>
    <hyperlink ref="H69" r:id="rId17" display="http://www.fs.fed.us/fstoday/090619/02National_News/FS_ARRA_Projects_approved_as_of_090623.pdf#xml=http://www.fs.fed.us/cgi-bin/texis/searchallsites/search.allsites/xml.txt?query=ARRA&amp;db=allsites&amp;id=4a44c3280"/>
    <hyperlink ref="L69" r:id="rId18" display="http://www.nrcs.usda.gov/recovery/"/>
    <hyperlink ref="T69" r:id="rId19" display="http://www.usda.gov/wps/portal/!ut/p/_s.7_0_A/7_0_1OB?contentidonly=true&amp;contentid=2009/09/0462.xml"/>
    <hyperlink ref="AE69" r:id="rId20" display="http://www.acf.hhs.gov/grants/open/HHS-2009-ACF-OHS-SH-0089.html"/>
    <hyperlink ref="AF69" r:id="rId21" display="http://www.acf.hhs.gov/grants/open/HHS-2009-ACF-OHS-SA-0087.html"/>
    <hyperlink ref="AM69" r:id="rId22" display="http://www.hhs.gov/recovery/programs/hrsa/healthprofessionsawardeesbystate.html"/>
    <hyperlink ref="AN69" r:id="rId23" display="http://www.hhs.gov/recovery/programs/hrsa/healthprofessionsawardeesbystate.html"/>
    <hyperlink ref="AO69" r:id="rId24" display="http://www.hhs.gov/recovery/programs/hrsa/healthprofessionsawardeesbystate.html"/>
    <hyperlink ref="AP69" r:id="rId25" display="http://www.hhs.gov/recovery/programs/hrsa/healthprofessionsawardeesbystate.html"/>
    <hyperlink ref="AQ69" r:id="rId26" display="http://www.acf.hhs.gov/news/press/2009/scf_chart.html"/>
    <hyperlink ref="AW69" r:id="rId27" display="http://www.hud.gov/offices/pih/ih/recovery.cfm"/>
    <hyperlink ref="AX69" r:id="rId28" display="http://www.hud.gov/offices/pih/ih/recovery.cfm"/>
    <hyperlink ref="CI69" r:id="rId29" display="http://www.energy.gov/news2009/7791.htm"/>
    <hyperlink ref="CG69" r:id="rId30" display="http://www.energy.gov/news2009/7851.htm"/>
    <hyperlink ref="CA69" r:id="rId31" display="http://www.epa.gov/brownfields/grant_announce/arrareglist.pdf"/>
    <hyperlink ref="BZ69" r:id="rId32" display="http://www.epa.gov/brownfields/grant_announce/recovact5509.pdf"/>
    <hyperlink ref="BY69" r:id="rId33" display="http://epa.gov/otaq/diesel/projnational-aara.htm"/>
    <hyperlink ref="CQ69" r:id="rId34" display="http://www.fhwa.dot.gov/pressroom/fhwa0921.htm"/>
    <hyperlink ref="BZ76" r:id="rId35" display="http://www.epa.gov/brownfields/eparecovery/index.htm"/>
    <hyperlink ref="T76" r:id="rId36" display="http://www.fns.usda.gov/fns/recovery/memos/WIC_registration-reporting.pdf"/>
    <hyperlink ref="CR69" r:id="rId37" display="http://edocket.access.gpo.gov/2009/E9-24479.htm"/>
    <hyperlink ref="BC69" r:id="rId38" display="http://www.ojp.usdoj.gov/newsroom/pressreleases/2009/OJJDP09157.htm"/>
    <hyperlink ref="N69" r:id="rId39" display="http://www.rurdev.usda.gov/rd/newsroom/news.htm"/>
    <hyperlink ref="CE69" r:id="rId40" display="http://www.dhs.gov/ynews/releases/pr_1253638502878.shtm"/>
    <hyperlink ref="CD70" r:id="rId41" display="http://www.dhs.gov/ynews/releases/pr_1248891182416.shtm"/>
    <hyperlink ref="CC74" r:id="rId42" display="http://www.fema.gov/pdf/government/grant/arra/arra_scg_faqs.pdf"/>
    <hyperlink ref="CD74" r:id="rId43" display="http://www.fema.gov/pdf/government/grant/arra/arra_tsgp_faqs.pdf"/>
    <hyperlink ref="CE74" r:id="rId44" display="http://www.fema.gov/pdf/government/grant/arra/arra_psgp_faqs.pdf"/>
    <hyperlink ref="BW76" r:id="rId45" display="http://www.eda.gov/PDF/Recipient%20Reporting%20Instructions%20for%20web.pdf"/>
    <hyperlink ref="BW80" r:id="rId46" display="http://www.eda.gov/PDF/Receipient%20Report%20Spreadsheet%20Template%20for%20web.xls"/>
    <hyperlink ref="BP76" r:id="rId47" display="http://www.doleta.gov/Recovery/legislation.cfm"/>
    <hyperlink ref="BP78" r:id="rId48" display="http://wdr.doleta.gov/directives/attach/TEGL/TEGL01-09.pdf"/>
    <hyperlink ref="BQ76" r:id="rId49" display="http://www.doleta.gov/Recovery/legislation.cfm"/>
    <hyperlink ref="BQ78" r:id="rId50" display="http://wdr.doleta.gov/directives/attach/TEGL/TEGL01-09.pdf"/>
    <hyperlink ref="BR76" r:id="rId51" display="http://www.doleta.gov/Recovery/legislation.cfm"/>
    <hyperlink ref="BR78" r:id="rId52" display="http://wdr.doleta.gov/directives/attach/TEGL/TEGL01-09.pdf"/>
    <hyperlink ref="CV74" r:id="rId53" display="http://www.irs.gov/pub/irs-drop/n-09-35.pdf"/>
    <hyperlink ref="CV69" r:id="rId54" display="http://www.irs.gov/pub/irs-drop/n-09-35.pdf"/>
    <hyperlink ref="DF69" r:id="rId55" display="http://www.treasury.gov/press/releases/reports/housing%20$3%20billion%20mark%20release%20%20final%20_2_.pdf"/>
    <hyperlink ref="CX69" r:id="rId56" display="http://www.irs.gov/pub/irs-drop/n-09-35.pdf"/>
    <hyperlink ref="CX74" r:id="rId57" display="http://www.irs.gov/pub/irs-drop/n-09-35.pdf"/>
    <hyperlink ref="CZ74" r:id="rId58" display="http://www.irs.gov/pub/irs-drop/n-09-33.pdf"/>
    <hyperlink ref="CZ69" r:id="rId59" display="http://www.irs.gov/pub/irs-tege/ncrebs_2009_allocations_v1.1.pdf"/>
    <hyperlink ref="DB69" r:id="rId60" display="http://www.irs.gov/pub/irs-tege/ncrebs_2009_allocations_v1.1.pdf"/>
    <hyperlink ref="DD69" r:id="rId61" display="http://www.irs.gov/pub/irs-tege/ncrebs_2009_allocations_v1.1.pdf"/>
    <hyperlink ref="DB74" r:id="rId62" display="http://www.irs.gov/pub/irs-drop/n-09-33.pdf"/>
    <hyperlink ref="DD74" r:id="rId63" display="http://www.irs.gov/pub/irs-drop/n-09-33.pdf"/>
    <hyperlink ref="CK69" r:id="rId64" display="http://www.energy.gov/news2009/documents2009/338M_Geothermal_Project_Descriptions.pdf"/>
    <hyperlink ref="R69" r:id="rId65" display="http://www.usda.gov/wps/portal/!ut/p/_s.7_0_A/7_0_1OB?contentidonly=true&amp;contentid=2009/10/0521.xml"/>
    <hyperlink ref="N76" r:id="rId66" display="http://www.rurdev.usda.gov/arra/ARRARecipientReportingRequirements.PDF"/>
    <hyperlink ref="P76" r:id="rId67" display="http://www.rurdev.usda.gov/arra/ARRARecipientReportingRequirements.PDF"/>
    <hyperlink ref="R76" r:id="rId68" display="http://www.rurdev.usda.gov/arra/ARRARecipientReportingRequirements.PDF"/>
    <hyperlink ref="CT69" r:id="rId69" display="http://www.faa.gov/recovery/programs/"/>
    <hyperlink ref="CS76" r:id="rId70" display="http://www.fta.dot.gov/index_9440_10542.html#report"/>
    <hyperlink ref="CO69" r:id="rId71" display="http://www.energy.gov/news2009/documents2009/ARPA-E_Project_Selections.pdf"/>
    <hyperlink ref="CM69" r:id="rId72" display="http://www.energy.gov/recovery/smartgrid_maps/SGIGSelections_State.pdf"/>
    <hyperlink ref="AT69" r:id="rId73" display="http://www.hhs.gov/news/press/2009pres/09/20090929a.html"/>
  </hyperlinks>
  <printOptions/>
  <pageMargins left="0.75" right="0.75" top="0.75" bottom="0.5" header="0.5" footer="0.5"/>
  <pageSetup fitToWidth="100" fitToHeight="1" horizontalDpi="600" verticalDpi="600" orientation="landscape" scale="74" r:id="rId75"/>
  <headerFooter alignWithMargins="0">
    <oddFooter>&amp;Rpage &amp;P of &amp;N</oddFooter>
  </headerFooter>
  <ignoredErrors>
    <ignoredError sqref="T64" formulaRange="1"/>
  </ignoredErrors>
  <drawing r:id="rId74"/>
</worksheet>
</file>

<file path=xl/worksheets/sheet3.xml><?xml version="1.0" encoding="utf-8"?>
<worksheet xmlns="http://schemas.openxmlformats.org/spreadsheetml/2006/main" xmlns:r="http://schemas.openxmlformats.org/officeDocument/2006/relationships">
  <dimension ref="A1:B87"/>
  <sheetViews>
    <sheetView tabSelected="1" zoomScale="85" zoomScaleNormal="85" zoomScalePageLayoutView="0" workbookViewId="0" topLeftCell="A1">
      <selection activeCell="C20" sqref="C20"/>
    </sheetView>
  </sheetViews>
  <sheetFormatPr defaultColWidth="9.140625" defaultRowHeight="12.75"/>
  <cols>
    <col min="1" max="1" width="41.00390625" style="258" customWidth="1"/>
    <col min="2" max="2" width="54.8515625" style="258" customWidth="1"/>
    <col min="3" max="16384" width="9.140625" style="257" customWidth="1"/>
  </cols>
  <sheetData>
    <row r="1" spans="1:2" ht="25.5">
      <c r="A1" s="274" t="s">
        <v>549</v>
      </c>
      <c r="B1" s="268"/>
    </row>
    <row r="2" spans="1:2" ht="12.75">
      <c r="A2" s="268"/>
      <c r="B2" s="268"/>
    </row>
    <row r="3" spans="1:2" ht="12.75">
      <c r="A3" s="268"/>
      <c r="B3" s="268"/>
    </row>
    <row r="4" spans="1:2" ht="12.75">
      <c r="A4" s="268"/>
      <c r="B4" s="268"/>
    </row>
    <row r="5" spans="1:2" ht="12.75">
      <c r="A5" s="268"/>
      <c r="B5" s="268"/>
    </row>
    <row r="6" spans="1:2" ht="25.5">
      <c r="A6" s="330" t="s">
        <v>627</v>
      </c>
      <c r="B6" s="329" t="s">
        <v>626</v>
      </c>
    </row>
    <row r="7" spans="1:2" ht="12.75">
      <c r="A7" s="328" t="s">
        <v>483</v>
      </c>
      <c r="B7" s="264" t="s">
        <v>544</v>
      </c>
    </row>
    <row r="8" spans="1:2" ht="25.5">
      <c r="A8" s="269"/>
      <c r="B8" s="270" t="s">
        <v>545</v>
      </c>
    </row>
    <row r="9" spans="1:2" ht="13.5">
      <c r="A9" s="269"/>
      <c r="B9" s="268"/>
    </row>
    <row r="10" spans="1:2" ht="5.25" customHeight="1">
      <c r="A10" s="331"/>
      <c r="B10" s="268"/>
    </row>
    <row r="11" spans="1:2" ht="12.75">
      <c r="A11" s="328" t="s">
        <v>240</v>
      </c>
      <c r="B11" s="264" t="s">
        <v>501</v>
      </c>
    </row>
    <row r="12" spans="1:2" ht="12.75">
      <c r="A12" s="332"/>
      <c r="B12" s="266" t="s">
        <v>502</v>
      </c>
    </row>
    <row r="13" spans="1:2" ht="7.5" customHeight="1">
      <c r="A13" s="332"/>
      <c r="B13" s="265"/>
    </row>
    <row r="14" spans="1:2" ht="12.75">
      <c r="A14" s="332"/>
      <c r="B14" s="265" t="s">
        <v>550</v>
      </c>
    </row>
    <row r="15" spans="1:2" ht="12.75">
      <c r="A15" s="332"/>
      <c r="B15" s="266" t="s">
        <v>515</v>
      </c>
    </row>
    <row r="16" spans="1:2" ht="5.25" customHeight="1">
      <c r="A16" s="332"/>
      <c r="B16" s="265"/>
    </row>
    <row r="17" spans="1:2" ht="12.75">
      <c r="A17" s="333"/>
      <c r="B17" s="267"/>
    </row>
    <row r="18" spans="1:2" ht="12.75">
      <c r="A18" s="328" t="s">
        <v>219</v>
      </c>
      <c r="B18" s="264" t="s">
        <v>506</v>
      </c>
    </row>
    <row r="19" spans="1:2" ht="13.5" customHeight="1">
      <c r="A19" s="332"/>
      <c r="B19" s="266" t="s">
        <v>505</v>
      </c>
    </row>
    <row r="20" spans="1:2" ht="3.75" customHeight="1">
      <c r="A20" s="332"/>
      <c r="B20" s="265"/>
    </row>
    <row r="21" spans="1:2" ht="12.75">
      <c r="A21" s="333"/>
      <c r="B21" s="267"/>
    </row>
    <row r="22" spans="1:2" ht="12.75">
      <c r="A22" s="328" t="s">
        <v>299</v>
      </c>
      <c r="B22" s="264" t="s">
        <v>547</v>
      </c>
    </row>
    <row r="23" spans="1:2" ht="13.5" customHeight="1">
      <c r="A23" s="332"/>
      <c r="B23" s="266" t="s">
        <v>548</v>
      </c>
    </row>
    <row r="24" spans="1:2" ht="3.75" customHeight="1">
      <c r="A24" s="332"/>
      <c r="B24" s="265"/>
    </row>
    <row r="25" spans="1:2" ht="12.75">
      <c r="A25" s="333"/>
      <c r="B25" s="267"/>
    </row>
    <row r="26" spans="1:2" ht="12.75">
      <c r="A26" s="328" t="s">
        <v>503</v>
      </c>
      <c r="B26" s="264" t="s">
        <v>504</v>
      </c>
    </row>
    <row r="27" spans="1:2" ht="12.75">
      <c r="A27" s="332"/>
      <c r="B27" s="266" t="s">
        <v>551</v>
      </c>
    </row>
    <row r="28" spans="1:2" ht="1.5" customHeight="1">
      <c r="A28" s="332"/>
      <c r="B28" s="265"/>
    </row>
    <row r="29" spans="1:2" ht="12.75">
      <c r="A29" s="333"/>
      <c r="B29" s="267"/>
    </row>
    <row r="30" spans="1:2" ht="12.75">
      <c r="A30" s="328" t="s">
        <v>291</v>
      </c>
      <c r="B30" s="264"/>
    </row>
    <row r="31" spans="1:2" ht="12.75">
      <c r="A31" s="332"/>
      <c r="B31" s="265"/>
    </row>
    <row r="32" spans="1:2" ht="12.75" hidden="1">
      <c r="A32" s="332"/>
      <c r="B32" s="265"/>
    </row>
    <row r="33" spans="1:2" ht="12.75" hidden="1">
      <c r="A33" s="333"/>
      <c r="B33" s="267"/>
    </row>
    <row r="34" spans="1:2" ht="12.75">
      <c r="A34" s="328" t="s">
        <v>243</v>
      </c>
      <c r="B34" s="271" t="s">
        <v>526</v>
      </c>
    </row>
    <row r="35" spans="1:2" s="280" customFormat="1" ht="25.5">
      <c r="A35" s="332"/>
      <c r="B35" s="266" t="s">
        <v>525</v>
      </c>
    </row>
    <row r="36" spans="1:2" ht="9" customHeight="1">
      <c r="A36" s="332"/>
      <c r="B36" s="265"/>
    </row>
    <row r="37" spans="1:2" ht="12.75">
      <c r="A37" s="332"/>
      <c r="B37" s="265" t="s">
        <v>523</v>
      </c>
    </row>
    <row r="38" spans="1:2" ht="12.75">
      <c r="A38" s="332"/>
      <c r="B38" s="266" t="s">
        <v>524</v>
      </c>
    </row>
    <row r="39" spans="1:2" ht="10.5" customHeight="1">
      <c r="A39" s="332"/>
      <c r="B39" s="265"/>
    </row>
    <row r="40" spans="1:2" ht="12.75">
      <c r="A40" s="332"/>
      <c r="B40" s="265" t="s">
        <v>527</v>
      </c>
    </row>
    <row r="41" spans="1:2" ht="12.75">
      <c r="A41" s="332"/>
      <c r="B41" s="266" t="s">
        <v>425</v>
      </c>
    </row>
    <row r="42" spans="1:2" ht="6.75" customHeight="1">
      <c r="A42" s="332"/>
      <c r="B42" s="265"/>
    </row>
    <row r="43" spans="1:2" ht="12.75">
      <c r="A43" s="332"/>
      <c r="B43" s="265"/>
    </row>
    <row r="44" spans="1:2" ht="12.75">
      <c r="A44" s="328" t="s">
        <v>227</v>
      </c>
      <c r="B44" s="271" t="s">
        <v>528</v>
      </c>
    </row>
    <row r="45" spans="1:2" ht="12.75">
      <c r="A45" s="332"/>
      <c r="B45" s="266" t="s">
        <v>529</v>
      </c>
    </row>
    <row r="46" spans="1:2" ht="10.5" customHeight="1">
      <c r="A46" s="332"/>
      <c r="B46" s="266"/>
    </row>
    <row r="47" spans="1:2" ht="12.75">
      <c r="A47" s="332"/>
      <c r="B47" s="265" t="s">
        <v>553</v>
      </c>
    </row>
    <row r="48" spans="1:2" ht="12.75">
      <c r="A48" s="332"/>
      <c r="B48" s="266" t="s">
        <v>552</v>
      </c>
    </row>
    <row r="49" spans="1:2" ht="7.5" customHeight="1">
      <c r="A49" s="332"/>
      <c r="B49" s="265"/>
    </row>
    <row r="50" spans="1:2" ht="7.5" customHeight="1">
      <c r="A50" s="333"/>
      <c r="B50" s="267"/>
    </row>
    <row r="51" spans="1:2" ht="12.75">
      <c r="A51" s="332" t="s">
        <v>229</v>
      </c>
      <c r="B51" s="265" t="s">
        <v>513</v>
      </c>
    </row>
    <row r="52" spans="1:2" ht="12.75">
      <c r="A52" s="332"/>
      <c r="B52" s="266" t="s">
        <v>530</v>
      </c>
    </row>
    <row r="53" spans="1:2" ht="9" customHeight="1">
      <c r="A53" s="332"/>
      <c r="B53" s="266"/>
    </row>
    <row r="54" spans="1:2" ht="9" customHeight="1">
      <c r="A54" s="332"/>
      <c r="B54" s="266"/>
    </row>
    <row r="55" spans="1:2" ht="12.75">
      <c r="A55" s="328" t="s">
        <v>239</v>
      </c>
      <c r="B55" s="272" t="s">
        <v>533</v>
      </c>
    </row>
    <row r="56" spans="1:2" ht="12.75">
      <c r="A56" s="332"/>
      <c r="B56" s="273" t="s">
        <v>532</v>
      </c>
    </row>
    <row r="57" spans="1:2" ht="9" customHeight="1">
      <c r="A57" s="332"/>
      <c r="B57" s="266"/>
    </row>
    <row r="58" spans="1:2" ht="9" customHeight="1">
      <c r="A58" s="333"/>
      <c r="B58" s="267"/>
    </row>
    <row r="59" spans="1:2" ht="12.75">
      <c r="A59" s="328" t="s">
        <v>293</v>
      </c>
      <c r="B59" s="264" t="s">
        <v>540</v>
      </c>
    </row>
    <row r="60" spans="1:2" ht="12.75">
      <c r="A60" s="331"/>
      <c r="B60" s="270" t="s">
        <v>541</v>
      </c>
    </row>
    <row r="61" spans="1:2" ht="9.75" customHeight="1">
      <c r="A61" s="331"/>
      <c r="B61" s="268"/>
    </row>
    <row r="62" spans="1:2" ht="12.75">
      <c r="A62" s="331"/>
      <c r="B62" s="268" t="s">
        <v>542</v>
      </c>
    </row>
    <row r="63" spans="1:2" ht="12.75">
      <c r="A63" s="331"/>
      <c r="B63" s="270" t="s">
        <v>543</v>
      </c>
    </row>
    <row r="64" spans="1:2" ht="7.5" customHeight="1">
      <c r="A64" s="331"/>
      <c r="B64" s="268"/>
    </row>
    <row r="65" spans="1:2" ht="7.5" customHeight="1">
      <c r="A65" s="331"/>
      <c r="B65" s="268"/>
    </row>
    <row r="66" spans="1:2" ht="12.75">
      <c r="A66" s="328" t="s">
        <v>539</v>
      </c>
      <c r="B66" s="264" t="s">
        <v>584</v>
      </c>
    </row>
    <row r="67" spans="1:2" ht="12.75">
      <c r="A67" s="331"/>
      <c r="B67" s="270" t="s">
        <v>585</v>
      </c>
    </row>
    <row r="68" spans="1:2" ht="7.5" customHeight="1">
      <c r="A68" s="331"/>
      <c r="B68" s="268"/>
    </row>
    <row r="69" spans="1:2" ht="7.5" customHeight="1">
      <c r="A69" s="331"/>
      <c r="B69" s="268"/>
    </row>
    <row r="70" spans="1:2" ht="12.75">
      <c r="A70" s="328" t="s">
        <v>481</v>
      </c>
      <c r="B70" s="272" t="s">
        <v>513</v>
      </c>
    </row>
    <row r="71" spans="1:2" ht="12.75">
      <c r="A71" s="332"/>
      <c r="B71" s="266" t="s">
        <v>512</v>
      </c>
    </row>
    <row r="72" spans="1:2" ht="7.5" customHeight="1">
      <c r="A72" s="332"/>
      <c r="B72" s="265"/>
    </row>
    <row r="73" spans="1:2" ht="12.75">
      <c r="A73" s="332"/>
      <c r="B73" s="265" t="s">
        <v>516</v>
      </c>
    </row>
    <row r="74" spans="1:2" ht="12.75">
      <c r="A74" s="332"/>
      <c r="B74" s="266" t="s">
        <v>517</v>
      </c>
    </row>
    <row r="75" spans="1:2" ht="9" customHeight="1">
      <c r="A75" s="332"/>
      <c r="B75" s="265"/>
    </row>
    <row r="76" spans="1:2" ht="9" customHeight="1">
      <c r="A76" s="333"/>
      <c r="B76" s="267"/>
    </row>
    <row r="77" ht="12.75">
      <c r="A77" s="307"/>
    </row>
    <row r="78" ht="12.75">
      <c r="A78" s="307"/>
    </row>
    <row r="79" ht="12.75">
      <c r="A79" s="307"/>
    </row>
    <row r="80" ht="12.75">
      <c r="A80" s="307"/>
    </row>
    <row r="81" ht="12.75">
      <c r="A81" s="307"/>
    </row>
    <row r="82" ht="12.75">
      <c r="A82" s="307"/>
    </row>
    <row r="83" ht="12.75">
      <c r="A83" s="307"/>
    </row>
    <row r="84" ht="12.75">
      <c r="A84" s="307"/>
    </row>
    <row r="85" ht="12.75">
      <c r="A85" s="307"/>
    </row>
    <row r="86" ht="12.75">
      <c r="A86" s="307"/>
    </row>
    <row r="87" ht="12.75">
      <c r="A87" s="307"/>
    </row>
  </sheetData>
  <sheetProtection/>
  <hyperlinks>
    <hyperlink ref="B19" r:id="rId1" display="http://www.ed.gov/policy/gen/leg/recovery/section-1512.html"/>
    <hyperlink ref="B15" r:id="rId2" display="http://recovery.commerce.gov/RecipientReportingResources"/>
    <hyperlink ref="B74" r:id="rId3" display="http://epa.gov/recovery/supplement.html"/>
    <hyperlink ref="B38" r:id="rId4" display="http://portal.hud.gov/portal/page/portal/RECOVERY/Reporting"/>
    <hyperlink ref="B35" r:id="rId5" display="http://www.recovery.gov/sites/default/files/HUD%20Job%20Count%20Guidance.pdf"/>
    <hyperlink ref="B41" r:id="rId6" display="http://www.hud.gov/offices/pih/programs/ph/capfund/ocir.cfm"/>
    <hyperlink ref="B52" r:id="rId7" display="http://www.ojp.gov/recovery/recipientreporting.htm"/>
    <hyperlink ref="B56" r:id="rId8" display="http://wdr.doleta.gov/directives/corr_doc.cfm?DOCN=2792"/>
    <hyperlink ref="B60" r:id="rId9" display="http://www.dot.gov/recovery/docs/section1512jobsreporting.htm"/>
    <hyperlink ref="B63" r:id="rId10" display="http://www.dot.gov/recovery/docs/section1512faq.htm"/>
    <hyperlink ref="B8" r:id="rId11" display="http://www.usda.gov/wps/portal/usdahome?contentidonly=true&amp;contentid=Supp_jobs_guidance.xml"/>
    <hyperlink ref="B12" r:id="rId12" display="http://recovery.commerce.gov/JobCreationGuidance"/>
    <hyperlink ref="B45" r:id="rId13" display="http://taggs.hhs.gov/ReadinessTool/"/>
    <hyperlink ref="B48" r:id="rId14" display="http://www.hhs.gov/recovery/reports/reportingassistance.html"/>
    <hyperlink ref="B71" r:id="rId15" display="http://www.epa.gov/recovery/recipient.html"/>
    <hyperlink ref="B67" r:id="rId16" display="http://www.irs.gov/newsroom/article/0,,id=204335,00.html"/>
    <hyperlink ref="B6" r:id="rId17" display="http://www.whitehouse.gov/omb/recovery_default/"/>
  </hyperlinks>
  <printOptions/>
  <pageMargins left="0.75" right="0.5" top="0.75" bottom="0.5" header="0.5" footer="0.5"/>
  <pageSetup horizontalDpi="600" verticalDpi="600" orientation="portrait" scale="80" r:id="rId1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FFIS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mhoward</dc:creator>
  <cp:keywords/>
  <dc:description/>
  <cp:lastModifiedBy>OIT</cp:lastModifiedBy>
  <cp:lastPrinted>2009-12-01T02:42:07Z</cp:lastPrinted>
  <dcterms:created xsi:type="dcterms:W3CDTF">2009-02-13T21:48:37Z</dcterms:created>
  <dcterms:modified xsi:type="dcterms:W3CDTF">2009-12-01T02:47:56Z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