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740" windowHeight="7365" tabRatio="701" activeTab="5"/>
  </bookViews>
  <sheets>
    <sheet name="Residential 2012" sheetId="1" r:id="rId1"/>
    <sheet name="Residential 2011" sheetId="2" r:id="rId2"/>
    <sheet name="SGS ALL 2012" sheetId="3" r:id="rId3"/>
    <sheet name="SGS ALL 2011" sheetId="4" r:id="rId4"/>
    <sheet name="SGS SOP 2012" sheetId="5" r:id="rId5"/>
    <sheet name="SGS SOP 2011" sheetId="6" r:id="rId6"/>
  </sheets>
  <definedNames/>
  <calcPr fullCalcOnLoad="1"/>
</workbook>
</file>

<file path=xl/comments1.xml><?xml version="1.0" encoding="utf-8"?>
<comments xmlns="http://schemas.openxmlformats.org/spreadsheetml/2006/main">
  <authors>
    <author>Ann L Theriault</author>
    <author>carletoc</author>
  </authors>
  <commentList>
    <comment ref="G3" authorId="0">
      <text>
        <r>
          <rPr>
            <sz val="10"/>
            <rFont val="Tahoma"/>
            <family val="0"/>
          </rPr>
          <t xml:space="preserve">Data from Bill Frequency Distribution Reports
</t>
        </r>
      </text>
    </comment>
    <comment ref="O4" authorId="1">
      <text>
        <r>
          <rPr>
            <b/>
            <sz val="8"/>
            <rFont val="Tahoma"/>
            <family val="2"/>
          </rPr>
          <t>carletoc:  9/7/12 - 
Total Residential Count from Customers by Rate August 2012 Report.</t>
        </r>
      </text>
    </comment>
  </commentList>
</comments>
</file>

<file path=xl/comments2.xml><?xml version="1.0" encoding="utf-8"?>
<comments xmlns="http://schemas.openxmlformats.org/spreadsheetml/2006/main">
  <authors>
    <author>Ann L Theriault</author>
    <author>carletoc</author>
  </authors>
  <commentList>
    <comment ref="G3" authorId="0">
      <text>
        <r>
          <rPr>
            <sz val="10"/>
            <rFont val="Tahoma"/>
            <family val="0"/>
          </rPr>
          <t xml:space="preserve">Data from Bill Frequency Distribution Reports
</t>
        </r>
      </text>
    </comment>
    <comment ref="O4" authorId="1">
      <text>
        <r>
          <rPr>
            <b/>
            <sz val="8"/>
            <rFont val="Tahoma"/>
            <family val="2"/>
          </rPr>
          <t>carletoc:  9/7/12 - 
Total Residential Count from Customers by Rate August 2012 Report.</t>
        </r>
      </text>
    </comment>
  </commentList>
</comments>
</file>

<file path=xl/comments3.xml><?xml version="1.0" encoding="utf-8"?>
<comments xmlns="http://schemas.openxmlformats.org/spreadsheetml/2006/main">
  <authors>
    <author>Ann L Theriault</author>
    <author>carletoc</author>
  </authors>
  <commentList>
    <comment ref="G3" authorId="0">
      <text>
        <r>
          <rPr>
            <sz val="10"/>
            <rFont val="Tahoma"/>
            <family val="0"/>
          </rPr>
          <t xml:space="preserve">Data from Bill Frequency Distribution Reports
</t>
        </r>
      </text>
    </comment>
    <comment ref="O4" authorId="1">
      <text>
        <r>
          <rPr>
            <b/>
            <sz val="8"/>
            <rFont val="Tahoma"/>
            <family val="2"/>
          </rPr>
          <t>carletoc:  9/7/12 - 
Total SGS includes Core &amp; Programs in the SGS Class keyed from the Count from Customers by Rate August 2012 Report.</t>
        </r>
      </text>
    </comment>
  </commentList>
</comments>
</file>

<file path=xl/comments4.xml><?xml version="1.0" encoding="utf-8"?>
<comments xmlns="http://schemas.openxmlformats.org/spreadsheetml/2006/main">
  <authors>
    <author>Ann L Theriault</author>
    <author>carletoc</author>
  </authors>
  <commentList>
    <comment ref="G3" authorId="0">
      <text>
        <r>
          <rPr>
            <sz val="10"/>
            <rFont val="Tahoma"/>
            <family val="0"/>
          </rPr>
          <t xml:space="preserve">Data from Bill Frequency Distribution Reports
</t>
        </r>
      </text>
    </comment>
    <comment ref="O4" authorId="1">
      <text>
        <r>
          <rPr>
            <b/>
            <sz val="8"/>
            <rFont val="Tahoma"/>
            <family val="2"/>
          </rPr>
          <t>carletoc:  9/7/12 - 
Total SGS includes Core &amp; Programs in the SGS Class keyed from the Count from Customers by Rate August 2012 Report.</t>
        </r>
      </text>
    </comment>
  </commentList>
</comments>
</file>

<file path=xl/comments5.xml><?xml version="1.0" encoding="utf-8"?>
<comments xmlns="http://schemas.openxmlformats.org/spreadsheetml/2006/main">
  <authors>
    <author>Ann L Theriault</author>
    <author>carletoc</author>
  </authors>
  <commentList>
    <comment ref="G3" authorId="0">
      <text>
        <r>
          <rPr>
            <sz val="10"/>
            <rFont val="Tahoma"/>
            <family val="0"/>
          </rPr>
          <t xml:space="preserve">Data from Bill Frequency Distribution Reports
</t>
        </r>
      </text>
    </comment>
    <comment ref="O4" authorId="1">
      <text>
        <r>
          <rPr>
            <b/>
            <sz val="8"/>
            <rFont val="Tahoma"/>
            <family val="2"/>
          </rPr>
          <t>carletoc:  9/7/12 - 
Total SGS includes Core &amp; Programs in the SGS Class keyed from the Count from Customers by Rate August 2012 Report.</t>
        </r>
      </text>
    </comment>
  </commentList>
</comments>
</file>

<file path=xl/comments6.xml><?xml version="1.0" encoding="utf-8"?>
<comments xmlns="http://schemas.openxmlformats.org/spreadsheetml/2006/main">
  <authors>
    <author>Ann L Theriault</author>
    <author>carletoc</author>
  </authors>
  <commentList>
    <comment ref="G3" authorId="0">
      <text>
        <r>
          <rPr>
            <sz val="10"/>
            <rFont val="Tahoma"/>
            <family val="0"/>
          </rPr>
          <t xml:space="preserve">Data from Bill Frequency Distribution Reports
</t>
        </r>
      </text>
    </comment>
    <comment ref="O4" authorId="1">
      <text>
        <r>
          <rPr>
            <b/>
            <sz val="8"/>
            <rFont val="Tahoma"/>
            <family val="2"/>
          </rPr>
          <t>carletoc:  9/7/12 - 
Total SGS includes Core &amp; Programs in the SGS Class keyed from the Count from Customers by Rate August 2012 Report.</t>
        </r>
      </text>
    </comment>
  </commentList>
</comments>
</file>

<file path=xl/sharedStrings.xml><?xml version="1.0" encoding="utf-8"?>
<sst xmlns="http://schemas.openxmlformats.org/spreadsheetml/2006/main" count="154" uniqueCount="32">
  <si>
    <t>As-BIlled kWh</t>
  </si>
  <si>
    <t># customers</t>
  </si>
  <si>
    <t>Total Load</t>
  </si>
  <si>
    <t>pk</t>
  </si>
  <si>
    <t>sh</t>
  </si>
  <si>
    <t>offpk</t>
  </si>
  <si>
    <t>&lt; 100 kWh</t>
  </si>
  <si>
    <t>&gt;100&lt;=500 kWh</t>
  </si>
  <si>
    <t>&gt;500&lt;=700 kWh</t>
  </si>
  <si>
    <t>&gt;700&lt;=1000 kWh</t>
  </si>
  <si>
    <t>&gt;1000&lt;=1500 kWh</t>
  </si>
  <si>
    <t>&gt;1500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</si>
  <si>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</si>
  <si>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</si>
  <si>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</si>
  <si>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</si>
  <si>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</si>
  <si>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</si>
  <si>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</si>
  <si>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</si>
  <si>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</si>
  <si>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</si>
  <si>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</si>
  <si>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</si>
  <si>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Residential All meters</t>
  </si>
  <si>
    <t>SGS All meters</t>
  </si>
  <si>
    <t>Total Tenants</t>
  </si>
  <si>
    <t>Customer Count</t>
  </si>
  <si>
    <t xml:space="preserve"># tenants </t>
  </si>
  <si>
    <t># tenants</t>
  </si>
  <si>
    <t>SGS SOP meters</t>
  </si>
  <si>
    <t>As-Billed kWh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</si>
</sst>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1" fillId="0" borderId="2" xfId="0" applyNumberFormat="1" applyFont="1" applyBorder="1" applyAlignment="1">
      <alignment horizontal="centerContinuous"/>
    </xf>
    <xf numFmtId="0" fontId="1" fillId="0" borderId="3" xfId="0" applyNumberFormat="1" applyFont="1" applyBorder="1" applyAlignment="1">
      <alignment horizontal="centerContinuous"/>
    </xf>
    <xf numFmtId="0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Continuous"/>
    </xf>
    <xf numFmtId="0" fontId="1" fillId="0" borderId="6" xfId="0" applyNumberFormat="1" applyFont="1" applyBorder="1" applyAlignment="1">
      <alignment horizontal="centerContinuous"/>
    </xf>
    <xf numFmtId="0" fontId="1" fillId="0" borderId="7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9" xfId="15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9" sqref="E19:E104"/>
    </sheetView>
  </sheetViews>
  <sheetFormatPr defaultColWidth="9.140625" defaultRowHeight="12.75"/>
  <cols>
    <col min="1" max="1" width="6.28125" style="1" customWidth="1"/>
    <col min="2" max="2" width="15.00390625" style="1" customWidth="1"/>
    <col min="3" max="3" width="15.57421875" style="1" bestFit="1" customWidth="1"/>
    <col min="4" max="4" width="16.28125" style="1" customWidth="1"/>
    <col min="5" max="6" width="17.57421875" style="1" customWidth="1"/>
    <col min="7" max="7" width="17.140625" style="1" bestFit="1" customWidth="1"/>
    <col min="8" max="9" width="15.140625" style="1" bestFit="1" customWidth="1"/>
    <col min="10" max="10" width="16.140625" style="1" bestFit="1" customWidth="1"/>
    <col min="11" max="11" width="17.140625" style="1" bestFit="1" customWidth="1"/>
    <col min="12" max="12" width="12.8515625" style="1" bestFit="1" customWidth="1"/>
    <col min="13" max="14" width="12.421875" style="1" customWidth="1"/>
    <col min="15" max="15" width="14.57421875" style="1" bestFit="1" customWidth="1"/>
    <col min="16" max="16384" width="12.421875" style="1" customWidth="1"/>
  </cols>
  <sheetData>
    <row r="1" ht="15.75" thickBot="1"/>
    <row r="2" spans="1:256" ht="15">
      <c r="A2" s="2"/>
      <c r="B2" s="3"/>
      <c r="C2" s="4" t="s">
        <v>24</v>
      </c>
      <c r="D2" s="4"/>
      <c r="E2" s="4"/>
      <c r="F2" s="4"/>
      <c r="G2" s="4"/>
      <c r="H2" s="4"/>
      <c r="I2" s="4"/>
      <c r="J2" s="4"/>
      <c r="K2" s="4"/>
      <c r="L2" s="5"/>
      <c r="M2" s="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7"/>
      <c r="B3" s="8"/>
      <c r="C3" s="9" t="s">
        <v>0</v>
      </c>
      <c r="D3" s="9"/>
      <c r="E3" s="9"/>
      <c r="F3" s="10"/>
      <c r="G3" s="9" t="s">
        <v>28</v>
      </c>
      <c r="H3" s="9"/>
      <c r="I3" s="9"/>
      <c r="J3" s="9"/>
      <c r="K3" s="9"/>
      <c r="L3" s="11"/>
      <c r="M3" s="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7"/>
      <c r="B4" s="8"/>
      <c r="C4" s="12" t="s">
        <v>2</v>
      </c>
      <c r="D4" s="13" t="s">
        <v>3</v>
      </c>
      <c r="E4" s="13" t="s">
        <v>4</v>
      </c>
      <c r="F4" s="14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6" t="s">
        <v>11</v>
      </c>
      <c r="M4" s="6"/>
      <c r="N4" s="27" t="s">
        <v>26</v>
      </c>
      <c r="O4" s="27" t="s">
        <v>27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7" t="s">
        <v>12</v>
      </c>
      <c r="B5" s="8"/>
      <c r="C5" s="17">
        <v>341215147</v>
      </c>
      <c r="D5" s="17"/>
      <c r="E5" s="17"/>
      <c r="F5" s="18"/>
      <c r="G5" s="24">
        <v>109077</v>
      </c>
      <c r="H5" s="17">
        <f>324590-G5</f>
        <v>215513</v>
      </c>
      <c r="I5" s="17">
        <f>421749-H5-G5</f>
        <v>97159</v>
      </c>
      <c r="J5" s="17">
        <f>516946-I5-H5-G5</f>
        <v>95197</v>
      </c>
      <c r="K5" s="17">
        <f>578497-J5-I5-H5-G5</f>
        <v>61551</v>
      </c>
      <c r="L5" s="25">
        <f>608202-K5-J5-I5-H5-G5</f>
        <v>29705</v>
      </c>
      <c r="M5" s="6"/>
      <c r="N5" s="26">
        <f>SUM(G5:L5)</f>
        <v>608202</v>
      </c>
      <c r="O5" s="26">
        <v>545125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7" t="s">
        <v>13</v>
      </c>
      <c r="B6" s="8"/>
      <c r="C6" s="17">
        <v>319654683</v>
      </c>
      <c r="D6" s="17"/>
      <c r="E6" s="17"/>
      <c r="F6" s="18"/>
      <c r="G6" s="24">
        <v>101554</v>
      </c>
      <c r="H6" s="17">
        <f>313888-G6</f>
        <v>212334</v>
      </c>
      <c r="I6" s="17">
        <f>413201-H6-G6</f>
        <v>99313</v>
      </c>
      <c r="J6" s="17">
        <f>501341-I6-H6-G6</f>
        <v>88140</v>
      </c>
      <c r="K6" s="17">
        <f>554672-J6-I6-H6-G6</f>
        <v>53331</v>
      </c>
      <c r="L6" s="25">
        <f>580701-K6-J6-I6-H6-G6</f>
        <v>26029</v>
      </c>
      <c r="M6" s="6"/>
      <c r="N6" s="26">
        <f aca="true" t="shared" si="0" ref="N6:N12">SUM(G6:L6)</f>
        <v>580701</v>
      </c>
      <c r="O6" s="26">
        <v>545236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7" t="s">
        <v>14</v>
      </c>
      <c r="B7" s="8"/>
      <c r="C7" s="17">
        <v>286428063</v>
      </c>
      <c r="D7" s="17"/>
      <c r="E7" s="17"/>
      <c r="F7" s="18"/>
      <c r="G7" s="24">
        <v>101446</v>
      </c>
      <c r="H7" s="17">
        <f>329956-G7</f>
        <v>228510</v>
      </c>
      <c r="I7" s="17">
        <f>429693-H7-G7</f>
        <v>99737</v>
      </c>
      <c r="J7" s="17">
        <f>510282-I7-H7-G7</f>
        <v>80589</v>
      </c>
      <c r="K7" s="17">
        <f>552218-J7-I7-H7-G7</f>
        <v>41936</v>
      </c>
      <c r="L7" s="25">
        <f>570004-K7-J7-I7-H7-G7</f>
        <v>17786</v>
      </c>
      <c r="M7" s="6"/>
      <c r="N7" s="26">
        <f t="shared" si="0"/>
        <v>570004</v>
      </c>
      <c r="O7" s="26">
        <v>545457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7" t="s">
        <v>15</v>
      </c>
      <c r="B8" s="8"/>
      <c r="C8" s="17">
        <v>275305030</v>
      </c>
      <c r="D8" s="17"/>
      <c r="E8" s="17"/>
      <c r="F8" s="18"/>
      <c r="G8" s="24">
        <v>98159</v>
      </c>
      <c r="H8" s="17">
        <f>331127-G8</f>
        <v>232968</v>
      </c>
      <c r="I8" s="17">
        <f>433201-H8-G8</f>
        <v>102074</v>
      </c>
      <c r="J8" s="17">
        <f>514237-I8-H8-G8</f>
        <v>81036</v>
      </c>
      <c r="K8" s="17">
        <f>553761-J8-I8-H8-G8</f>
        <v>39524</v>
      </c>
      <c r="L8" s="25">
        <f>566631-K8-J8-I8-H8-G8</f>
        <v>12870</v>
      </c>
      <c r="M8" s="6"/>
      <c r="N8" s="26">
        <f t="shared" si="0"/>
        <v>566631</v>
      </c>
      <c r="O8" s="26">
        <v>545257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7" t="s">
        <v>16</v>
      </c>
      <c r="B9" s="8"/>
      <c r="C9" s="17">
        <v>240709353</v>
      </c>
      <c r="D9" s="17"/>
      <c r="E9" s="17"/>
      <c r="F9" s="18"/>
      <c r="G9" s="24">
        <v>99442</v>
      </c>
      <c r="H9" s="17">
        <f>374144-G9</f>
        <v>274702</v>
      </c>
      <c r="I9" s="17">
        <f>472107-H9-G9</f>
        <v>97963</v>
      </c>
      <c r="J9" s="17">
        <f>536513-I9-H9-G9</f>
        <v>64406</v>
      </c>
      <c r="K9" s="17">
        <f>561751-J9-I9-H9-G9</f>
        <v>25238</v>
      </c>
      <c r="L9" s="25">
        <f>568257-K9-J9-I9-H9-G9</f>
        <v>6506</v>
      </c>
      <c r="M9" s="6"/>
      <c r="N9" s="26">
        <f t="shared" si="0"/>
        <v>568257</v>
      </c>
      <c r="O9" s="26">
        <v>544750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7" t="s">
        <v>17</v>
      </c>
      <c r="B10" s="8"/>
      <c r="C10" s="17">
        <v>270024803</v>
      </c>
      <c r="D10" s="17"/>
      <c r="E10" s="17"/>
      <c r="F10" s="18"/>
      <c r="G10" s="24">
        <v>77276</v>
      </c>
      <c r="H10" s="17">
        <f>339199-G10</f>
        <v>261923</v>
      </c>
      <c r="I10" s="17">
        <f>442598-H10-G10</f>
        <v>103399</v>
      </c>
      <c r="J10" s="17">
        <f>521421-I10-H10-G10</f>
        <v>78823</v>
      </c>
      <c r="K10" s="17">
        <f>556553-J10-I10-H10-G10</f>
        <v>35132</v>
      </c>
      <c r="L10" s="25">
        <f>565998-K10-J10-I10-H10-G10</f>
        <v>9445</v>
      </c>
      <c r="M10" s="6"/>
      <c r="N10" s="26">
        <f t="shared" si="0"/>
        <v>565998</v>
      </c>
      <c r="O10" s="26">
        <v>544861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7" t="s">
        <v>18</v>
      </c>
      <c r="B11" s="8"/>
      <c r="C11" s="17">
        <v>308896479</v>
      </c>
      <c r="D11" s="17"/>
      <c r="E11" s="17"/>
      <c r="F11" s="18"/>
      <c r="G11" s="24">
        <v>63672</v>
      </c>
      <c r="H11" s="17">
        <f>305471-G11</f>
        <v>241799</v>
      </c>
      <c r="I11" s="17">
        <f>406733-H11-G11</f>
        <v>101262</v>
      </c>
      <c r="J11" s="17">
        <f>496981-I11-H11-G11</f>
        <v>90248</v>
      </c>
      <c r="K11" s="17">
        <f>548367-J11-I11-H11-G11</f>
        <v>51386</v>
      </c>
      <c r="L11" s="25">
        <f>565981-K11-J11-I11-H11-G11</f>
        <v>17614</v>
      </c>
      <c r="M11" s="6"/>
      <c r="N11" s="26">
        <f t="shared" si="0"/>
        <v>565981</v>
      </c>
      <c r="O11" s="26">
        <v>544915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7" t="s">
        <v>19</v>
      </c>
      <c r="B12" s="8"/>
      <c r="C12" s="17">
        <v>331487285</v>
      </c>
      <c r="D12" s="17"/>
      <c r="E12" s="17"/>
      <c r="F12" s="18"/>
      <c r="G12" s="24">
        <v>59740</v>
      </c>
      <c r="H12" s="17">
        <f>285455-G12</f>
        <v>225715</v>
      </c>
      <c r="I12" s="17">
        <f>386071-H12-G12</f>
        <v>100616</v>
      </c>
      <c r="J12" s="17">
        <f>482084-I12-H12-G12</f>
        <v>96013</v>
      </c>
      <c r="K12" s="17">
        <f>543348-J12-I12-H12-G12</f>
        <v>61264</v>
      </c>
      <c r="L12" s="25">
        <f>566054-K12-J12-I12-H12-G12</f>
        <v>22706</v>
      </c>
      <c r="M12" s="6"/>
      <c r="N12" s="26">
        <f t="shared" si="0"/>
        <v>566054</v>
      </c>
      <c r="O12" s="26">
        <v>545136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7" t="s">
        <v>20</v>
      </c>
      <c r="B13" s="8"/>
      <c r="C13" s="17"/>
      <c r="D13" s="17"/>
      <c r="E13" s="17"/>
      <c r="F13" s="18"/>
      <c r="G13" s="20"/>
      <c r="H13" s="8"/>
      <c r="I13" s="8"/>
      <c r="J13" s="8"/>
      <c r="K13" s="8"/>
      <c r="L13" s="19"/>
      <c r="M13" s="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" t="s">
        <v>21</v>
      </c>
      <c r="B14" s="8"/>
      <c r="C14" s="17"/>
      <c r="D14" s="17"/>
      <c r="E14" s="17"/>
      <c r="F14" s="18"/>
      <c r="G14" s="20"/>
      <c r="H14" s="8"/>
      <c r="I14" s="8"/>
      <c r="J14" s="8"/>
      <c r="K14" s="8"/>
      <c r="L14" s="19"/>
      <c r="M14" s="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" t="s">
        <v>22</v>
      </c>
      <c r="B15" s="8"/>
      <c r="C15" s="17"/>
      <c r="D15" s="17"/>
      <c r="E15" s="17"/>
      <c r="F15" s="18"/>
      <c r="G15" s="20"/>
      <c r="H15" s="8"/>
      <c r="I15" s="8"/>
      <c r="J15" s="8"/>
      <c r="K15" s="8"/>
      <c r="L15" s="19"/>
      <c r="M15" s="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" t="s">
        <v>23</v>
      </c>
      <c r="B16" s="8"/>
      <c r="C16" s="17"/>
      <c r="D16" s="17"/>
      <c r="E16" s="17"/>
      <c r="F16" s="18"/>
      <c r="G16" s="20"/>
      <c r="H16" s="8"/>
      <c r="I16" s="8"/>
      <c r="J16" s="8"/>
      <c r="K16" s="8"/>
      <c r="L16" s="19"/>
      <c r="M16" s="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thickBo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8"/>
  <sheetViews>
    <sheetView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0" sqref="C20"/>
    </sheetView>
  </sheetViews>
  <sheetFormatPr defaultColWidth="9.140625" defaultRowHeight="12.75"/>
  <cols>
    <col min="1" max="1" width="6.28125" style="1" customWidth="1"/>
    <col min="2" max="2" width="15.00390625" style="1" customWidth="1"/>
    <col min="3" max="3" width="15.57421875" style="1" bestFit="1" customWidth="1"/>
    <col min="4" max="4" width="16.28125" style="1" customWidth="1"/>
    <col min="5" max="6" width="17.57421875" style="1" customWidth="1"/>
    <col min="7" max="7" width="17.140625" style="1" bestFit="1" customWidth="1"/>
    <col min="8" max="9" width="15.140625" style="1" bestFit="1" customWidth="1"/>
    <col min="10" max="10" width="16.140625" style="1" bestFit="1" customWidth="1"/>
    <col min="11" max="11" width="17.140625" style="1" bestFit="1" customWidth="1"/>
    <col min="12" max="12" width="12.8515625" style="1" bestFit="1" customWidth="1"/>
    <col min="13" max="14" width="12.421875" style="1" customWidth="1"/>
    <col min="15" max="15" width="14.57421875" style="1" bestFit="1" customWidth="1"/>
    <col min="16" max="16384" width="12.421875" style="1" customWidth="1"/>
  </cols>
  <sheetData>
    <row r="1" ht="15.75" thickBot="1"/>
    <row r="2" spans="1:256" ht="15">
      <c r="A2" s="2"/>
      <c r="B2" s="3"/>
      <c r="C2" s="4" t="s">
        <v>24</v>
      </c>
      <c r="D2" s="4"/>
      <c r="E2" s="4"/>
      <c r="F2" s="4"/>
      <c r="G2" s="4"/>
      <c r="H2" s="4"/>
      <c r="I2" s="4"/>
      <c r="J2" s="4"/>
      <c r="K2" s="4"/>
      <c r="L2" s="5"/>
      <c r="M2" s="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7"/>
      <c r="B3" s="8"/>
      <c r="C3" s="9" t="s">
        <v>0</v>
      </c>
      <c r="D3" s="9"/>
      <c r="E3" s="9"/>
      <c r="F3" s="10"/>
      <c r="G3" s="9" t="s">
        <v>29</v>
      </c>
      <c r="H3" s="9"/>
      <c r="I3" s="9"/>
      <c r="J3" s="9"/>
      <c r="K3" s="9"/>
      <c r="L3" s="11"/>
      <c r="M3" s="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7"/>
      <c r="B4" s="8"/>
      <c r="C4" s="12" t="s">
        <v>2</v>
      </c>
      <c r="D4" s="13" t="s">
        <v>3</v>
      </c>
      <c r="E4" s="13" t="s">
        <v>4</v>
      </c>
      <c r="F4" s="14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6" t="s">
        <v>11</v>
      </c>
      <c r="M4" s="6"/>
      <c r="N4" s="27" t="s">
        <v>26</v>
      </c>
      <c r="O4" s="27" t="s">
        <v>27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7" t="s">
        <v>12</v>
      </c>
      <c r="B5" s="8"/>
      <c r="C5" s="17">
        <v>337335554</v>
      </c>
      <c r="D5" s="17"/>
      <c r="E5" s="17"/>
      <c r="F5" s="18"/>
      <c r="G5" s="24">
        <v>100281</v>
      </c>
      <c r="H5" s="17">
        <f>298025-G5</f>
        <v>197744</v>
      </c>
      <c r="I5" s="17">
        <f>394696-H5-G5</f>
        <v>96671</v>
      </c>
      <c r="J5" s="17">
        <f>490481-I5-H5-G5</f>
        <v>95785</v>
      </c>
      <c r="K5" s="17">
        <f>552834-J5-I5-H5-G5</f>
        <v>62353</v>
      </c>
      <c r="L5" s="25">
        <f>581735-K5-J5-I5-H5-G5</f>
        <v>28901</v>
      </c>
      <c r="M5" s="6"/>
      <c r="N5" s="26">
        <f>SUM(G5:L5)</f>
        <v>581735</v>
      </c>
      <c r="O5" s="26">
        <v>544381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7" t="s">
        <v>13</v>
      </c>
      <c r="B6" s="8"/>
      <c r="C6" s="17">
        <v>311242377</v>
      </c>
      <c r="D6" s="17"/>
      <c r="E6" s="17"/>
      <c r="F6" s="18"/>
      <c r="G6" s="24">
        <v>102370</v>
      </c>
      <c r="H6" s="17">
        <f>322796-G6</f>
        <v>220426</v>
      </c>
      <c r="I6" s="17">
        <f>421112-H6-G6</f>
        <v>98316</v>
      </c>
      <c r="J6" s="17">
        <f>505544-I6-H6-G6</f>
        <v>84432</v>
      </c>
      <c r="K6" s="17">
        <f>554640-J6-I6-H6-G6</f>
        <v>49096</v>
      </c>
      <c r="L6" s="25">
        <f>579155-K6-J6-I6-H6-G6</f>
        <v>24515</v>
      </c>
      <c r="M6" s="6"/>
      <c r="N6" s="26">
        <f aca="true" t="shared" si="0" ref="N6:N16">SUM(G6:L6)</f>
        <v>579155</v>
      </c>
      <c r="O6" s="26">
        <v>544475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7" t="s">
        <v>14</v>
      </c>
      <c r="B7" s="8"/>
      <c r="C7" s="17">
        <v>304855607</v>
      </c>
      <c r="D7" s="17"/>
      <c r="E7" s="17"/>
      <c r="F7" s="18"/>
      <c r="G7" s="24">
        <v>108130</v>
      </c>
      <c r="H7" s="17">
        <f>332248-G7</f>
        <v>224118</v>
      </c>
      <c r="I7" s="17">
        <f>430215-H7-G7</f>
        <v>97967</v>
      </c>
      <c r="J7" s="17">
        <f>513359-I7-H7-G7</f>
        <v>83144</v>
      </c>
      <c r="K7" s="17">
        <f>560617-J7-I7-H7-G7</f>
        <v>47258</v>
      </c>
      <c r="L7" s="25">
        <f>583450-K7-J7-I7-H7-G7</f>
        <v>22833</v>
      </c>
      <c r="M7" s="6"/>
      <c r="N7" s="26">
        <f t="shared" si="0"/>
        <v>583450</v>
      </c>
      <c r="O7" s="26">
        <v>544557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7" t="s">
        <v>15</v>
      </c>
      <c r="B8" s="8"/>
      <c r="C8" s="17">
        <v>290500846</v>
      </c>
      <c r="D8" s="17"/>
      <c r="E8" s="17"/>
      <c r="F8" s="18"/>
      <c r="G8" s="24">
        <v>108673</v>
      </c>
      <c r="H8" s="17">
        <f>342747-G8</f>
        <v>234074</v>
      </c>
      <c r="I8" s="17">
        <f>442310-H8-G8</f>
        <v>99563</v>
      </c>
      <c r="J8" s="17">
        <f>525329-I8-H8-G8</f>
        <v>83019</v>
      </c>
      <c r="K8" s="17">
        <f>569120-J8-I8-H8-G8</f>
        <v>43791</v>
      </c>
      <c r="L8" s="25">
        <f>586481-K8-J8-I8-H8-G8</f>
        <v>17361</v>
      </c>
      <c r="M8" s="6"/>
      <c r="N8" s="26">
        <f t="shared" si="0"/>
        <v>586481</v>
      </c>
      <c r="O8" s="26">
        <v>544336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7" t="s">
        <v>16</v>
      </c>
      <c r="B9" s="8"/>
      <c r="C9" s="17">
        <v>242197710</v>
      </c>
      <c r="D9" s="17"/>
      <c r="E9" s="17"/>
      <c r="F9" s="18"/>
      <c r="G9" s="24">
        <v>113870</v>
      </c>
      <c r="H9" s="17">
        <f>394166-G9</f>
        <v>280296</v>
      </c>
      <c r="I9" s="17">
        <f>492009-H9-G9</f>
        <v>97843</v>
      </c>
      <c r="J9" s="17">
        <f>557009-I9-H9-G9</f>
        <v>65000</v>
      </c>
      <c r="K9" s="17">
        <f>582510-J9-I9-H9-G9</f>
        <v>25501</v>
      </c>
      <c r="L9" s="25">
        <f>589047-K9-J9-I9-H9-G9</f>
        <v>6537</v>
      </c>
      <c r="M9" s="6"/>
      <c r="N9" s="26">
        <f t="shared" si="0"/>
        <v>589047</v>
      </c>
      <c r="O9" s="26">
        <v>543619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7" t="s">
        <v>17</v>
      </c>
      <c r="B10" s="8"/>
      <c r="C10" s="17">
        <v>272297294</v>
      </c>
      <c r="D10" s="17"/>
      <c r="E10" s="17"/>
      <c r="F10" s="18"/>
      <c r="G10" s="24">
        <v>89180</v>
      </c>
      <c r="H10" s="17">
        <f>359036-G10</f>
        <v>269856</v>
      </c>
      <c r="I10" s="17">
        <f>461145-H10-G10</f>
        <v>102109</v>
      </c>
      <c r="J10" s="17">
        <f>541008-I10-H10-G10</f>
        <v>79863</v>
      </c>
      <c r="K10" s="17">
        <f>577476-J10-I10-H10-G10</f>
        <v>36468</v>
      </c>
      <c r="L10" s="25">
        <f>586717-K10-J10-I10-H10-G10</f>
        <v>9241</v>
      </c>
      <c r="M10" s="6"/>
      <c r="N10" s="26">
        <f t="shared" si="0"/>
        <v>586717</v>
      </c>
      <c r="O10" s="26">
        <v>543537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7" t="s">
        <v>18</v>
      </c>
      <c r="B11" s="8"/>
      <c r="C11" s="17">
        <v>296218906</v>
      </c>
      <c r="D11" s="17"/>
      <c r="E11" s="17"/>
      <c r="F11" s="18"/>
      <c r="G11" s="24">
        <v>78690</v>
      </c>
      <c r="H11" s="17">
        <f>343079-G11</f>
        <v>264389</v>
      </c>
      <c r="I11" s="17">
        <f>444596-H11-G11</f>
        <v>101517</v>
      </c>
      <c r="J11" s="17">
        <f>529438-I11-H11-G11</f>
        <v>84842</v>
      </c>
      <c r="K11" s="17">
        <f>574819-J11-I11-H11-G11</f>
        <v>45381</v>
      </c>
      <c r="L11" s="25">
        <f>589220-K11-J11-I11-H11-G11</f>
        <v>14401</v>
      </c>
      <c r="M11" s="6"/>
      <c r="N11" s="26">
        <f t="shared" si="0"/>
        <v>589220</v>
      </c>
      <c r="O11" s="26">
        <v>543635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7" t="s">
        <v>19</v>
      </c>
      <c r="B12" s="8"/>
      <c r="C12" s="17">
        <v>300124097</v>
      </c>
      <c r="D12" s="17"/>
      <c r="E12" s="17"/>
      <c r="F12" s="18"/>
      <c r="G12" s="24">
        <v>73418</v>
      </c>
      <c r="H12" s="17">
        <f>332582-G12</f>
        <v>259164</v>
      </c>
      <c r="I12" s="17">
        <f>434061-H12-G12</f>
        <v>101479</v>
      </c>
      <c r="J12" s="17">
        <f>520998-I12-H12-G12</f>
        <v>86937</v>
      </c>
      <c r="K12" s="17">
        <f>568204-J12-I12-H12-G12</f>
        <v>47206</v>
      </c>
      <c r="L12" s="25">
        <f>583242-K12-J12-I12-H12-G12</f>
        <v>15038</v>
      </c>
      <c r="M12" s="6"/>
      <c r="N12" s="26">
        <f t="shared" si="0"/>
        <v>583242</v>
      </c>
      <c r="O12" s="26">
        <v>543848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7" t="s">
        <v>20</v>
      </c>
      <c r="B13" s="8"/>
      <c r="C13" s="17">
        <v>292203302</v>
      </c>
      <c r="D13" s="17"/>
      <c r="E13" s="17"/>
      <c r="F13" s="18"/>
      <c r="G13" s="24">
        <v>85186</v>
      </c>
      <c r="H13" s="17">
        <f>365016-G13</f>
        <v>279830</v>
      </c>
      <c r="I13" s="17">
        <f>467231-H13-G13</f>
        <v>102215</v>
      </c>
      <c r="J13" s="17">
        <f>551072-I13-H13-G13</f>
        <v>83841</v>
      </c>
      <c r="K13" s="17">
        <f>593529-J13-I13-H13-G13</f>
        <v>42457</v>
      </c>
      <c r="L13" s="25">
        <f>605964-K13-J13-I13-H13-G13</f>
        <v>12435</v>
      </c>
      <c r="M13" s="6"/>
      <c r="N13" s="26">
        <f t="shared" si="0"/>
        <v>605964</v>
      </c>
      <c r="O13" s="26">
        <v>543840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" t="s">
        <v>21</v>
      </c>
      <c r="B14" s="8"/>
      <c r="C14" s="17">
        <v>258444343</v>
      </c>
      <c r="D14" s="17"/>
      <c r="E14" s="17"/>
      <c r="F14" s="18"/>
      <c r="G14" s="24">
        <v>100611</v>
      </c>
      <c r="H14" s="17">
        <f>397360-G14</f>
        <v>296749</v>
      </c>
      <c r="I14" s="17">
        <f>499304-H14-G14</f>
        <v>101944</v>
      </c>
      <c r="J14" s="17">
        <f>571997-I14-H14-G14</f>
        <v>72693</v>
      </c>
      <c r="K14" s="17">
        <f>600756-J14-I14-H14-G14</f>
        <v>28759</v>
      </c>
      <c r="L14" s="25">
        <f>607256-K14-J14-I14-H14-G14</f>
        <v>6500</v>
      </c>
      <c r="M14" s="6"/>
      <c r="N14" s="26">
        <f t="shared" si="0"/>
        <v>607256</v>
      </c>
      <c r="O14" s="26">
        <v>543832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" t="s">
        <v>22</v>
      </c>
      <c r="B15" s="8"/>
      <c r="C15" s="17">
        <v>267194723</v>
      </c>
      <c r="D15" s="17"/>
      <c r="E15" s="17"/>
      <c r="F15" s="18"/>
      <c r="G15" s="24">
        <v>119250</v>
      </c>
      <c r="H15" s="17">
        <f>404224-G15</f>
        <v>284974</v>
      </c>
      <c r="I15" s="17">
        <f>505666-H15-G15</f>
        <v>101442</v>
      </c>
      <c r="J15" s="17">
        <f>580537-I15-H15-G15</f>
        <v>74871</v>
      </c>
      <c r="K15" s="17">
        <f>613411-J15-I15-H15-G15</f>
        <v>32874</v>
      </c>
      <c r="L15" s="25">
        <f>622495-K15-J15-I15-H15-G15</f>
        <v>9084</v>
      </c>
      <c r="M15" s="6"/>
      <c r="N15" s="26">
        <f t="shared" si="0"/>
        <v>622495</v>
      </c>
      <c r="O15" s="26">
        <v>544333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" t="s">
        <v>23</v>
      </c>
      <c r="B16" s="8"/>
      <c r="C16" s="17">
        <v>302472835</v>
      </c>
      <c r="D16" s="17"/>
      <c r="E16" s="17"/>
      <c r="F16" s="18"/>
      <c r="G16" s="24">
        <v>126569</v>
      </c>
      <c r="H16" s="17">
        <f>386256-G16</f>
        <v>259687</v>
      </c>
      <c r="I16" s="17">
        <f>486910-H16-G16</f>
        <v>100654</v>
      </c>
      <c r="J16" s="17">
        <f>574212-I16-H16-G16</f>
        <v>87302</v>
      </c>
      <c r="K16" s="17">
        <f>621587-J16-I16-H16-G16</f>
        <v>47375</v>
      </c>
      <c r="L16" s="25">
        <f>638232-K16-J16-I16-H16-G16</f>
        <v>16645</v>
      </c>
      <c r="M16" s="6"/>
      <c r="N16" s="26">
        <f t="shared" si="0"/>
        <v>638232</v>
      </c>
      <c r="O16" s="26">
        <v>544727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thickBo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6"/>
      <c r="N17" s="2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8"/>
  <sheetViews>
    <sheetView workbookViewId="0" topLeftCell="A6">
      <selection activeCell="G19" sqref="G19:G109"/>
    </sheetView>
  </sheetViews>
  <sheetFormatPr defaultColWidth="9.140625" defaultRowHeight="12.75"/>
  <cols>
    <col min="1" max="1" width="6.28125" style="1" customWidth="1"/>
    <col min="2" max="2" width="15.00390625" style="1" customWidth="1"/>
    <col min="3" max="3" width="15.57421875" style="1" bestFit="1" customWidth="1"/>
    <col min="4" max="4" width="16.28125" style="1" customWidth="1"/>
    <col min="5" max="6" width="17.57421875" style="1" customWidth="1"/>
    <col min="7" max="7" width="17.140625" style="1" bestFit="1" customWidth="1"/>
    <col min="8" max="9" width="15.140625" style="1" bestFit="1" customWidth="1"/>
    <col min="10" max="10" width="16.140625" style="1" bestFit="1" customWidth="1"/>
    <col min="11" max="11" width="17.140625" style="1" bestFit="1" customWidth="1"/>
    <col min="12" max="12" width="12.8515625" style="1" bestFit="1" customWidth="1"/>
    <col min="13" max="14" width="12.421875" style="1" customWidth="1"/>
    <col min="15" max="15" width="14.57421875" style="1" bestFit="1" customWidth="1"/>
    <col min="16" max="16384" width="12.421875" style="1" customWidth="1"/>
  </cols>
  <sheetData>
    <row r="1" ht="15.75" thickBot="1"/>
    <row r="2" spans="1:256" ht="15">
      <c r="A2" s="2"/>
      <c r="B2" s="3"/>
      <c r="C2" s="4" t="s">
        <v>25</v>
      </c>
      <c r="D2" s="4"/>
      <c r="E2" s="4"/>
      <c r="F2" s="4"/>
      <c r="G2" s="4"/>
      <c r="H2" s="4"/>
      <c r="I2" s="4"/>
      <c r="J2" s="4"/>
      <c r="K2" s="4"/>
      <c r="L2" s="5"/>
      <c r="M2" s="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7"/>
      <c r="B3" s="8"/>
      <c r="C3" s="9" t="s">
        <v>0</v>
      </c>
      <c r="D3" s="9"/>
      <c r="E3" s="9"/>
      <c r="F3" s="10"/>
      <c r="G3" s="9" t="s">
        <v>1</v>
      </c>
      <c r="H3" s="9"/>
      <c r="I3" s="9"/>
      <c r="J3" s="9"/>
      <c r="K3" s="9"/>
      <c r="L3" s="11"/>
      <c r="M3" s="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7"/>
      <c r="B4" s="8"/>
      <c r="C4" s="12" t="s">
        <v>2</v>
      </c>
      <c r="D4" s="13" t="s">
        <v>3</v>
      </c>
      <c r="E4" s="13" t="s">
        <v>4</v>
      </c>
      <c r="F4" s="14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6" t="s">
        <v>11</v>
      </c>
      <c r="M4" s="6"/>
      <c r="N4" s="27"/>
      <c r="O4" s="2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7" t="s">
        <v>12</v>
      </c>
      <c r="B5" s="8"/>
      <c r="C5" s="17">
        <v>45989168</v>
      </c>
      <c r="D5" s="17"/>
      <c r="E5" s="17"/>
      <c r="F5" s="18"/>
      <c r="G5" s="24">
        <v>10770</v>
      </c>
      <c r="H5" s="17">
        <v>15870</v>
      </c>
      <c r="I5" s="17">
        <v>4368</v>
      </c>
      <c r="J5" s="17">
        <v>4398</v>
      </c>
      <c r="K5" s="17">
        <v>4847</v>
      </c>
      <c r="L5" s="25">
        <v>10120</v>
      </c>
      <c r="M5" s="6"/>
      <c r="N5" s="2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7" t="s">
        <v>13</v>
      </c>
      <c r="B6" s="8"/>
      <c r="C6" s="17">
        <v>45751461</v>
      </c>
      <c r="D6" s="17"/>
      <c r="E6" s="17"/>
      <c r="F6" s="18"/>
      <c r="G6" s="24">
        <v>11033</v>
      </c>
      <c r="H6" s="17">
        <v>15753</v>
      </c>
      <c r="I6" s="17">
        <v>4329</v>
      </c>
      <c r="J6" s="17">
        <v>4234</v>
      </c>
      <c r="K6" s="17">
        <v>4870</v>
      </c>
      <c r="L6" s="25">
        <v>10157</v>
      </c>
      <c r="M6" s="6"/>
      <c r="N6" s="2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7" t="s">
        <v>14</v>
      </c>
      <c r="B7" s="8"/>
      <c r="C7" s="17">
        <v>41754402</v>
      </c>
      <c r="D7" s="17"/>
      <c r="E7" s="17"/>
      <c r="F7" s="18"/>
      <c r="G7" s="24">
        <v>11498</v>
      </c>
      <c r="H7" s="17">
        <v>16500</v>
      </c>
      <c r="I7" s="17">
        <v>4175</v>
      </c>
      <c r="J7" s="17">
        <v>4408</v>
      </c>
      <c r="K7" s="17">
        <v>4681</v>
      </c>
      <c r="L7" s="25">
        <v>9010</v>
      </c>
      <c r="M7" s="6"/>
      <c r="N7" s="2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7" t="s">
        <v>15</v>
      </c>
      <c r="B8" s="8"/>
      <c r="C8" s="17">
        <v>41411379</v>
      </c>
      <c r="D8" s="17"/>
      <c r="E8" s="17"/>
      <c r="F8" s="18"/>
      <c r="G8" s="24">
        <v>11264</v>
      </c>
      <c r="H8" s="17">
        <v>16704</v>
      </c>
      <c r="I8" s="17">
        <v>4359</v>
      </c>
      <c r="J8" s="17">
        <v>4439</v>
      </c>
      <c r="K8" s="17">
        <v>4656</v>
      </c>
      <c r="L8" s="25">
        <v>8758</v>
      </c>
      <c r="M8" s="6"/>
      <c r="N8" s="2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7" t="s">
        <v>16</v>
      </c>
      <c r="B9" s="8"/>
      <c r="C9" s="17">
        <v>37228192</v>
      </c>
      <c r="D9" s="17"/>
      <c r="E9" s="17"/>
      <c r="F9" s="18"/>
      <c r="G9" s="24">
        <v>11587</v>
      </c>
      <c r="H9" s="17">
        <v>18076</v>
      </c>
      <c r="I9" s="17">
        <v>4459</v>
      </c>
      <c r="J9" s="17">
        <v>4331</v>
      </c>
      <c r="K9" s="17">
        <v>4329</v>
      </c>
      <c r="L9" s="25">
        <v>7535</v>
      </c>
      <c r="M9" s="6"/>
      <c r="N9" s="2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7" t="s">
        <v>17</v>
      </c>
      <c r="B10" s="8"/>
      <c r="C10" s="17">
        <v>43091043</v>
      </c>
      <c r="D10" s="17"/>
      <c r="E10" s="17"/>
      <c r="F10" s="18"/>
      <c r="G10" s="24">
        <v>10459</v>
      </c>
      <c r="H10" s="17">
        <v>17430</v>
      </c>
      <c r="I10" s="17">
        <v>4541</v>
      </c>
      <c r="J10" s="17">
        <v>4435</v>
      </c>
      <c r="K10" s="17">
        <v>4456</v>
      </c>
      <c r="L10" s="25">
        <v>8930</v>
      </c>
      <c r="M10" s="6"/>
      <c r="N10" s="2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7" t="s">
        <v>18</v>
      </c>
      <c r="B11" s="8"/>
      <c r="C11" s="17">
        <v>48236368</v>
      </c>
      <c r="D11" s="17"/>
      <c r="E11" s="17"/>
      <c r="F11" s="18"/>
      <c r="G11" s="24">
        <v>10393</v>
      </c>
      <c r="H11" s="17">
        <v>16858</v>
      </c>
      <c r="I11" s="17">
        <v>4313</v>
      </c>
      <c r="J11" s="17">
        <v>4145</v>
      </c>
      <c r="K11" s="17">
        <v>4388</v>
      </c>
      <c r="L11" s="25">
        <v>10289</v>
      </c>
      <c r="M11" s="6"/>
      <c r="N11" s="2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7" t="s">
        <v>19</v>
      </c>
      <c r="B12" s="8"/>
      <c r="C12" s="17">
        <v>51004121</v>
      </c>
      <c r="D12" s="17"/>
      <c r="E12" s="17"/>
      <c r="F12" s="18"/>
      <c r="G12" s="24">
        <v>10188</v>
      </c>
      <c r="H12" s="17">
        <v>16507</v>
      </c>
      <c r="I12" s="17">
        <v>4160</v>
      </c>
      <c r="J12" s="17">
        <v>4095</v>
      </c>
      <c r="K12" s="17">
        <v>4376</v>
      </c>
      <c r="L12" s="25">
        <v>11044</v>
      </c>
      <c r="M12" s="6"/>
      <c r="N12" s="2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7" t="s">
        <v>20</v>
      </c>
      <c r="B13" s="8"/>
      <c r="C13" s="17"/>
      <c r="D13" s="17"/>
      <c r="E13" s="17"/>
      <c r="F13" s="18"/>
      <c r="G13" s="20"/>
      <c r="H13" s="8"/>
      <c r="I13" s="8"/>
      <c r="J13" s="8"/>
      <c r="K13" s="8"/>
      <c r="L13" s="19"/>
      <c r="M13" s="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" t="s">
        <v>21</v>
      </c>
      <c r="B14" s="8"/>
      <c r="C14" s="17"/>
      <c r="D14" s="17"/>
      <c r="E14" s="17"/>
      <c r="F14" s="18"/>
      <c r="G14" s="20"/>
      <c r="H14" s="8"/>
      <c r="I14" s="8"/>
      <c r="J14" s="8"/>
      <c r="K14" s="8"/>
      <c r="L14" s="19"/>
      <c r="M14" s="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" t="s">
        <v>22</v>
      </c>
      <c r="B15" s="8"/>
      <c r="C15" s="17"/>
      <c r="D15" s="17"/>
      <c r="E15" s="17"/>
      <c r="F15" s="18"/>
      <c r="G15" s="20"/>
      <c r="H15" s="8"/>
      <c r="I15" s="8"/>
      <c r="J15" s="8"/>
      <c r="K15" s="8"/>
      <c r="L15" s="19"/>
      <c r="M15" s="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" t="s">
        <v>23</v>
      </c>
      <c r="B16" s="8"/>
      <c r="C16" s="17"/>
      <c r="D16" s="17"/>
      <c r="E16" s="17"/>
      <c r="F16" s="18"/>
      <c r="G16" s="20"/>
      <c r="H16" s="8"/>
      <c r="I16" s="8"/>
      <c r="J16" s="8"/>
      <c r="K16" s="8"/>
      <c r="L16" s="19"/>
      <c r="M16" s="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thickBo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8"/>
  <sheetViews>
    <sheetView workbookViewId="0" topLeftCell="A6">
      <selection activeCell="C19" sqref="C19:C100"/>
    </sheetView>
  </sheetViews>
  <sheetFormatPr defaultColWidth="9.140625" defaultRowHeight="12.75"/>
  <cols>
    <col min="1" max="1" width="6.28125" style="1" customWidth="1"/>
    <col min="2" max="2" width="15.00390625" style="1" customWidth="1"/>
    <col min="3" max="3" width="15.57421875" style="1" bestFit="1" customWidth="1"/>
    <col min="4" max="4" width="16.28125" style="1" customWidth="1"/>
    <col min="5" max="6" width="17.57421875" style="1" customWidth="1"/>
    <col min="7" max="7" width="17.140625" style="1" bestFit="1" customWidth="1"/>
    <col min="8" max="9" width="15.140625" style="1" bestFit="1" customWidth="1"/>
    <col min="10" max="10" width="16.140625" style="1" bestFit="1" customWidth="1"/>
    <col min="11" max="11" width="17.140625" style="1" bestFit="1" customWidth="1"/>
    <col min="12" max="12" width="12.8515625" style="1" bestFit="1" customWidth="1"/>
    <col min="13" max="14" width="12.421875" style="1" customWidth="1"/>
    <col min="15" max="15" width="14.57421875" style="1" bestFit="1" customWidth="1"/>
    <col min="16" max="16384" width="12.421875" style="1" customWidth="1"/>
  </cols>
  <sheetData>
    <row r="1" ht="15.75" thickBot="1"/>
    <row r="2" spans="1:256" ht="15">
      <c r="A2" s="2"/>
      <c r="B2" s="3"/>
      <c r="C2" s="4" t="s">
        <v>25</v>
      </c>
      <c r="D2" s="4"/>
      <c r="E2" s="4"/>
      <c r="F2" s="4"/>
      <c r="G2" s="4"/>
      <c r="H2" s="4"/>
      <c r="I2" s="4"/>
      <c r="J2" s="4"/>
      <c r="K2" s="4"/>
      <c r="L2" s="5"/>
      <c r="M2" s="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7"/>
      <c r="B3" s="8"/>
      <c r="C3" s="9" t="s">
        <v>0</v>
      </c>
      <c r="D3" s="9"/>
      <c r="E3" s="9"/>
      <c r="F3" s="10"/>
      <c r="G3" s="9" t="s">
        <v>1</v>
      </c>
      <c r="H3" s="9"/>
      <c r="I3" s="9"/>
      <c r="J3" s="9"/>
      <c r="K3" s="9"/>
      <c r="L3" s="11"/>
      <c r="M3" s="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7"/>
      <c r="B4" s="8"/>
      <c r="C4" s="12" t="s">
        <v>2</v>
      </c>
      <c r="D4" s="13" t="s">
        <v>3</v>
      </c>
      <c r="E4" s="13" t="s">
        <v>4</v>
      </c>
      <c r="F4" s="14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6" t="s">
        <v>11</v>
      </c>
      <c r="M4" s="6"/>
      <c r="N4" s="27"/>
      <c r="O4" s="2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7" t="s">
        <v>12</v>
      </c>
      <c r="B5" s="8"/>
      <c r="C5" s="17">
        <v>46153607</v>
      </c>
      <c r="D5" s="17"/>
      <c r="E5" s="17"/>
      <c r="F5" s="18"/>
      <c r="G5" s="24">
        <v>11092</v>
      </c>
      <c r="H5" s="17">
        <v>15577</v>
      </c>
      <c r="I5" s="17">
        <v>4249</v>
      </c>
      <c r="J5" s="17">
        <v>4446</v>
      </c>
      <c r="K5" s="17">
        <v>4880</v>
      </c>
      <c r="L5" s="25">
        <v>10197</v>
      </c>
      <c r="M5" s="6"/>
      <c r="N5" s="2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7" t="s">
        <v>13</v>
      </c>
      <c r="B6" s="8"/>
      <c r="C6" s="17">
        <v>44589939</v>
      </c>
      <c r="D6" s="17"/>
      <c r="E6" s="17"/>
      <c r="F6" s="18"/>
      <c r="G6" s="24">
        <v>11402</v>
      </c>
      <c r="H6" s="17">
        <v>15869</v>
      </c>
      <c r="I6" s="17">
        <v>4212</v>
      </c>
      <c r="J6" s="17">
        <v>4322</v>
      </c>
      <c r="K6" s="17">
        <v>4808</v>
      </c>
      <c r="L6" s="25">
        <v>9884</v>
      </c>
      <c r="M6" s="6"/>
      <c r="N6" s="2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7" t="s">
        <v>14</v>
      </c>
      <c r="B7" s="8"/>
      <c r="C7" s="17">
        <v>44627735</v>
      </c>
      <c r="D7" s="17"/>
      <c r="E7" s="17"/>
      <c r="F7" s="18"/>
      <c r="G7" s="24">
        <v>11950</v>
      </c>
      <c r="H7" s="17">
        <v>15741</v>
      </c>
      <c r="I7" s="17">
        <v>4188</v>
      </c>
      <c r="J7" s="17">
        <v>4398</v>
      </c>
      <c r="K7" s="17">
        <v>4798</v>
      </c>
      <c r="L7" s="25">
        <v>9859</v>
      </c>
      <c r="M7" s="6"/>
      <c r="N7" s="2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7" t="s">
        <v>15</v>
      </c>
      <c r="B8" s="8"/>
      <c r="C8" s="17">
        <v>43650415</v>
      </c>
      <c r="D8" s="17"/>
      <c r="E8" s="17"/>
      <c r="F8" s="18"/>
      <c r="G8" s="24">
        <v>11946</v>
      </c>
      <c r="H8" s="17">
        <v>16009</v>
      </c>
      <c r="I8" s="17">
        <v>4446</v>
      </c>
      <c r="J8" s="17">
        <v>4448</v>
      </c>
      <c r="K8" s="17">
        <v>4659</v>
      </c>
      <c r="L8" s="25">
        <v>9511</v>
      </c>
      <c r="M8" s="6"/>
      <c r="N8" s="2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7" t="s">
        <v>16</v>
      </c>
      <c r="B9" s="8"/>
      <c r="C9" s="17">
        <v>37829951</v>
      </c>
      <c r="D9" s="17"/>
      <c r="E9" s="17"/>
      <c r="F9" s="18"/>
      <c r="G9" s="24">
        <v>11997</v>
      </c>
      <c r="H9" s="17">
        <v>17747</v>
      </c>
      <c r="I9" s="17">
        <v>4429</v>
      </c>
      <c r="J9" s="17">
        <v>4354</v>
      </c>
      <c r="K9" s="17">
        <v>4401</v>
      </c>
      <c r="L9" s="25">
        <v>7739</v>
      </c>
      <c r="M9" s="6"/>
      <c r="N9" s="2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7" t="s">
        <v>17</v>
      </c>
      <c r="B10" s="8"/>
      <c r="C10" s="17">
        <v>43602453</v>
      </c>
      <c r="D10" s="17"/>
      <c r="E10" s="17"/>
      <c r="F10" s="18"/>
      <c r="G10" s="24">
        <v>10894</v>
      </c>
      <c r="H10" s="17">
        <v>16914</v>
      </c>
      <c r="I10" s="17">
        <v>4591</v>
      </c>
      <c r="J10" s="17">
        <v>4416</v>
      </c>
      <c r="K10" s="17">
        <v>4453</v>
      </c>
      <c r="L10" s="25">
        <v>9214</v>
      </c>
      <c r="M10" s="6"/>
      <c r="N10" s="2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7" t="s">
        <v>18</v>
      </c>
      <c r="B11" s="8"/>
      <c r="C11" s="17">
        <v>47625425</v>
      </c>
      <c r="D11" s="17"/>
      <c r="E11" s="17"/>
      <c r="F11" s="18"/>
      <c r="G11" s="24">
        <v>10804</v>
      </c>
      <c r="H11" s="17">
        <v>16646</v>
      </c>
      <c r="I11" s="17">
        <v>4314</v>
      </c>
      <c r="J11" s="17">
        <v>4158</v>
      </c>
      <c r="K11" s="17">
        <v>4318</v>
      </c>
      <c r="L11" s="25">
        <v>10211</v>
      </c>
      <c r="M11" s="6"/>
      <c r="N11" s="2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7" t="s">
        <v>19</v>
      </c>
      <c r="B12" s="8"/>
      <c r="C12" s="17">
        <v>47966784</v>
      </c>
      <c r="D12" s="17"/>
      <c r="E12" s="17"/>
      <c r="F12" s="18"/>
      <c r="G12" s="24">
        <v>10849</v>
      </c>
      <c r="H12" s="17">
        <v>16833</v>
      </c>
      <c r="I12" s="17">
        <v>4027</v>
      </c>
      <c r="J12" s="17">
        <v>4105</v>
      </c>
      <c r="K12" s="17">
        <v>4353</v>
      </c>
      <c r="L12" s="25">
        <v>10291</v>
      </c>
      <c r="M12" s="6"/>
      <c r="N12" s="2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7" t="s">
        <v>20</v>
      </c>
      <c r="B13" s="8"/>
      <c r="C13" s="17">
        <v>47425787</v>
      </c>
      <c r="D13" s="17"/>
      <c r="E13" s="17"/>
      <c r="F13" s="18"/>
      <c r="G13" s="20">
        <v>10773</v>
      </c>
      <c r="H13" s="8">
        <v>16597</v>
      </c>
      <c r="I13" s="8">
        <v>4558</v>
      </c>
      <c r="J13" s="8">
        <v>4184</v>
      </c>
      <c r="K13" s="8">
        <v>4412</v>
      </c>
      <c r="L13" s="19">
        <v>10073</v>
      </c>
      <c r="M13" s="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" t="s">
        <v>21</v>
      </c>
      <c r="B14" s="8"/>
      <c r="C14" s="17">
        <v>40966680</v>
      </c>
      <c r="D14" s="17"/>
      <c r="E14" s="17"/>
      <c r="F14" s="18"/>
      <c r="G14" s="20">
        <v>11258</v>
      </c>
      <c r="H14" s="8">
        <v>17572</v>
      </c>
      <c r="I14" s="8">
        <v>4471</v>
      </c>
      <c r="J14" s="8">
        <v>4353</v>
      </c>
      <c r="K14" s="8">
        <v>4392</v>
      </c>
      <c r="L14" s="19">
        <v>8378</v>
      </c>
      <c r="M14" s="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" t="s">
        <v>22</v>
      </c>
      <c r="B15" s="8"/>
      <c r="C15" s="17">
        <v>39004163</v>
      </c>
      <c r="D15" s="17"/>
      <c r="E15" s="17"/>
      <c r="F15" s="18"/>
      <c r="G15" s="20">
        <v>11673</v>
      </c>
      <c r="H15" s="8">
        <v>17280</v>
      </c>
      <c r="I15" s="8">
        <v>4565</v>
      </c>
      <c r="J15" s="8">
        <v>4278</v>
      </c>
      <c r="K15" s="8">
        <v>4486</v>
      </c>
      <c r="L15" s="19">
        <v>8076</v>
      </c>
      <c r="M15" s="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" t="s">
        <v>23</v>
      </c>
      <c r="B16" s="8"/>
      <c r="C16" s="17">
        <v>42140740</v>
      </c>
      <c r="D16" s="17"/>
      <c r="E16" s="17"/>
      <c r="F16" s="18"/>
      <c r="G16" s="20">
        <v>11224</v>
      </c>
      <c r="H16" s="8">
        <v>16444</v>
      </c>
      <c r="I16" s="8">
        <v>4492</v>
      </c>
      <c r="J16" s="8">
        <v>4379</v>
      </c>
      <c r="K16" s="8">
        <v>4675</v>
      </c>
      <c r="L16" s="19">
        <v>9051</v>
      </c>
      <c r="M16" s="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thickBo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8"/>
  <sheetViews>
    <sheetView workbookViewId="0" topLeftCell="A6">
      <selection activeCell="C19" sqref="C19:C100"/>
    </sheetView>
  </sheetViews>
  <sheetFormatPr defaultColWidth="9.140625" defaultRowHeight="12.75"/>
  <cols>
    <col min="1" max="1" width="6.28125" style="1" customWidth="1"/>
    <col min="2" max="2" width="15.00390625" style="1" customWidth="1"/>
    <col min="3" max="3" width="15.57421875" style="1" bestFit="1" customWidth="1"/>
    <col min="4" max="4" width="16.28125" style="1" customWidth="1"/>
    <col min="5" max="6" width="17.57421875" style="1" customWidth="1"/>
    <col min="7" max="7" width="17.140625" style="1" bestFit="1" customWidth="1"/>
    <col min="8" max="9" width="15.140625" style="1" bestFit="1" customWidth="1"/>
    <col min="10" max="10" width="16.140625" style="1" bestFit="1" customWidth="1"/>
    <col min="11" max="11" width="17.140625" style="1" bestFit="1" customWidth="1"/>
    <col min="12" max="12" width="12.8515625" style="1" bestFit="1" customWidth="1"/>
    <col min="13" max="14" width="12.421875" style="1" customWidth="1"/>
    <col min="15" max="15" width="14.57421875" style="1" bestFit="1" customWidth="1"/>
    <col min="16" max="16384" width="12.421875" style="1" customWidth="1"/>
  </cols>
  <sheetData>
    <row r="1" ht="15.75" thickBot="1"/>
    <row r="2" spans="1:256" ht="15">
      <c r="A2" s="2"/>
      <c r="B2" s="3"/>
      <c r="C2" s="4" t="s">
        <v>30</v>
      </c>
      <c r="D2" s="4"/>
      <c r="E2" s="4"/>
      <c r="F2" s="4"/>
      <c r="G2" s="4"/>
      <c r="H2" s="4"/>
      <c r="I2" s="4"/>
      <c r="J2" s="4"/>
      <c r="K2" s="4"/>
      <c r="L2" s="5"/>
      <c r="M2" s="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7"/>
      <c r="B3" s="8"/>
      <c r="C3" s="9" t="s">
        <v>31</v>
      </c>
      <c r="D3" s="9"/>
      <c r="E3" s="9"/>
      <c r="F3" s="10"/>
      <c r="G3" s="9" t="s">
        <v>1</v>
      </c>
      <c r="H3" s="9"/>
      <c r="I3" s="9"/>
      <c r="J3" s="9"/>
      <c r="K3" s="9"/>
      <c r="L3" s="11"/>
      <c r="M3" s="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7"/>
      <c r="B4" s="8"/>
      <c r="C4" s="12" t="s">
        <v>2</v>
      </c>
      <c r="D4" s="13" t="s">
        <v>3</v>
      </c>
      <c r="E4" s="13" t="s">
        <v>4</v>
      </c>
      <c r="F4" s="14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6" t="s">
        <v>11</v>
      </c>
      <c r="M4" s="6"/>
      <c r="N4" s="27"/>
      <c r="O4" s="2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7" t="s">
        <v>12</v>
      </c>
      <c r="B5" s="8"/>
      <c r="C5" s="17">
        <v>34427143</v>
      </c>
      <c r="D5" s="17"/>
      <c r="E5" s="17"/>
      <c r="F5" s="18"/>
      <c r="G5" s="24">
        <v>9394</v>
      </c>
      <c r="H5" s="17">
        <v>9909</v>
      </c>
      <c r="I5" s="17">
        <v>3277</v>
      </c>
      <c r="J5" s="17">
        <v>3665</v>
      </c>
      <c r="K5" s="17">
        <v>4011</v>
      </c>
      <c r="L5" s="25">
        <v>7732</v>
      </c>
      <c r="M5" s="6"/>
      <c r="N5" s="2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7" t="s">
        <v>13</v>
      </c>
      <c r="B6" s="8"/>
      <c r="C6" s="17">
        <v>33861165</v>
      </c>
      <c r="D6" s="17"/>
      <c r="E6" s="17"/>
      <c r="F6" s="18"/>
      <c r="G6" s="24">
        <v>9540</v>
      </c>
      <c r="H6" s="17">
        <v>9660</v>
      </c>
      <c r="I6" s="17">
        <v>3246</v>
      </c>
      <c r="J6" s="17">
        <v>3482</v>
      </c>
      <c r="K6" s="17">
        <v>3977</v>
      </c>
      <c r="L6" s="25">
        <v>7658</v>
      </c>
      <c r="M6" s="6"/>
      <c r="N6" s="2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7" t="s">
        <v>14</v>
      </c>
      <c r="B7" s="8"/>
      <c r="C7" s="17">
        <v>28882432</v>
      </c>
      <c r="D7" s="17"/>
      <c r="E7" s="17"/>
      <c r="F7" s="18"/>
      <c r="G7" s="24">
        <v>9596</v>
      </c>
      <c r="H7" s="17">
        <v>9763</v>
      </c>
      <c r="I7" s="17">
        <v>2977</v>
      </c>
      <c r="J7" s="17">
        <v>3380</v>
      </c>
      <c r="K7" s="17">
        <v>3576</v>
      </c>
      <c r="L7" s="25">
        <v>6284</v>
      </c>
      <c r="M7" s="6"/>
      <c r="N7" s="2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7" t="s">
        <v>15</v>
      </c>
      <c r="B8" s="8"/>
      <c r="C8" s="17">
        <v>26910514</v>
      </c>
      <c r="D8" s="17"/>
      <c r="E8" s="17"/>
      <c r="F8" s="18"/>
      <c r="G8" s="24">
        <v>9173</v>
      </c>
      <c r="H8" s="17">
        <v>9713</v>
      </c>
      <c r="I8" s="17">
        <v>2833</v>
      </c>
      <c r="J8" s="17">
        <v>3239</v>
      </c>
      <c r="K8" s="17">
        <v>3328</v>
      </c>
      <c r="L8" s="25">
        <v>5749</v>
      </c>
      <c r="M8" s="6"/>
      <c r="N8" s="2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7" t="s">
        <v>16</v>
      </c>
      <c r="B9" s="8"/>
      <c r="C9" s="17">
        <v>23323742</v>
      </c>
      <c r="D9" s="17"/>
      <c r="E9" s="17"/>
      <c r="F9" s="18"/>
      <c r="G9" s="24">
        <v>9239</v>
      </c>
      <c r="H9" s="17">
        <v>10279</v>
      </c>
      <c r="I9" s="17">
        <v>2975</v>
      </c>
      <c r="J9" s="17">
        <v>3031</v>
      </c>
      <c r="K9" s="17">
        <v>2915</v>
      </c>
      <c r="L9" s="25">
        <v>4765</v>
      </c>
      <c r="M9" s="6"/>
      <c r="N9" s="2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7" t="s">
        <v>17</v>
      </c>
      <c r="B10" s="8"/>
      <c r="C10" s="17">
        <v>26436071</v>
      </c>
      <c r="D10" s="17"/>
      <c r="E10" s="17"/>
      <c r="F10" s="18"/>
      <c r="G10" s="24">
        <v>8222</v>
      </c>
      <c r="H10" s="17">
        <v>9956</v>
      </c>
      <c r="I10" s="17">
        <v>2773</v>
      </c>
      <c r="J10" s="17">
        <v>2999</v>
      </c>
      <c r="K10" s="17">
        <v>2982</v>
      </c>
      <c r="L10" s="25">
        <v>5557</v>
      </c>
      <c r="M10" s="6"/>
      <c r="N10" s="2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7" t="s">
        <v>18</v>
      </c>
      <c r="B11" s="8"/>
      <c r="C11" s="17">
        <v>29434327</v>
      </c>
      <c r="D11" s="17"/>
      <c r="E11" s="17"/>
      <c r="F11" s="18"/>
      <c r="G11" s="24">
        <v>7895</v>
      </c>
      <c r="H11" s="17">
        <v>9147</v>
      </c>
      <c r="I11" s="17">
        <v>2618</v>
      </c>
      <c r="J11" s="17">
        <v>2810</v>
      </c>
      <c r="K11" s="17">
        <v>2892</v>
      </c>
      <c r="L11" s="25">
        <v>6408</v>
      </c>
      <c r="M11" s="6"/>
      <c r="N11" s="2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7" t="s">
        <v>19</v>
      </c>
      <c r="B12" s="8"/>
      <c r="C12" s="17">
        <v>30823967</v>
      </c>
      <c r="D12" s="17"/>
      <c r="E12" s="17"/>
      <c r="F12" s="18"/>
      <c r="G12" s="24">
        <v>7639</v>
      </c>
      <c r="H12" s="17">
        <v>8842</v>
      </c>
      <c r="I12" s="17">
        <v>2501</v>
      </c>
      <c r="J12" s="17">
        <v>2730</v>
      </c>
      <c r="K12" s="17">
        <v>2869</v>
      </c>
      <c r="L12" s="25">
        <v>6799</v>
      </c>
      <c r="M12" s="6"/>
      <c r="N12" s="2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7" t="s">
        <v>20</v>
      </c>
      <c r="B13" s="8"/>
      <c r="C13" s="17"/>
      <c r="D13" s="17"/>
      <c r="E13" s="17"/>
      <c r="F13" s="18"/>
      <c r="G13" s="24"/>
      <c r="H13" s="17"/>
      <c r="I13" s="17"/>
      <c r="J13" s="17"/>
      <c r="K13" s="17"/>
      <c r="L13" s="25"/>
      <c r="M13" s="6"/>
      <c r="N13" s="2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" t="s">
        <v>21</v>
      </c>
      <c r="B14" s="8"/>
      <c r="C14" s="17"/>
      <c r="D14" s="17"/>
      <c r="E14" s="17"/>
      <c r="F14" s="18"/>
      <c r="G14" s="24"/>
      <c r="H14" s="17"/>
      <c r="I14" s="17"/>
      <c r="J14" s="17"/>
      <c r="K14" s="17"/>
      <c r="L14" s="25"/>
      <c r="M14" s="6"/>
      <c r="N14" s="2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" t="s">
        <v>22</v>
      </c>
      <c r="B15" s="8"/>
      <c r="C15" s="17"/>
      <c r="D15" s="17"/>
      <c r="E15" s="17"/>
      <c r="F15" s="18"/>
      <c r="G15" s="24"/>
      <c r="H15" s="17"/>
      <c r="I15" s="17"/>
      <c r="J15" s="17"/>
      <c r="K15" s="17"/>
      <c r="L15" s="25"/>
      <c r="M15" s="6"/>
      <c r="N15" s="2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" t="s">
        <v>23</v>
      </c>
      <c r="B16" s="8"/>
      <c r="C16" s="17"/>
      <c r="D16" s="17"/>
      <c r="E16" s="17"/>
      <c r="F16" s="18"/>
      <c r="G16" s="24"/>
      <c r="H16" s="17"/>
      <c r="I16" s="17"/>
      <c r="J16" s="17"/>
      <c r="K16" s="17"/>
      <c r="L16" s="25"/>
      <c r="M16" s="6"/>
      <c r="N16" s="2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thickBo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8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6.28125" style="1" customWidth="1"/>
    <col min="2" max="2" width="15.00390625" style="1" customWidth="1"/>
    <col min="3" max="3" width="15.57421875" style="1" bestFit="1" customWidth="1"/>
    <col min="4" max="4" width="16.28125" style="1" customWidth="1"/>
    <col min="5" max="6" width="17.57421875" style="1" customWidth="1"/>
    <col min="7" max="7" width="17.140625" style="1" bestFit="1" customWidth="1"/>
    <col min="8" max="9" width="15.140625" style="1" bestFit="1" customWidth="1"/>
    <col min="10" max="10" width="16.140625" style="1" bestFit="1" customWidth="1"/>
    <col min="11" max="11" width="17.140625" style="1" bestFit="1" customWidth="1"/>
    <col min="12" max="12" width="12.8515625" style="1" bestFit="1" customWidth="1"/>
    <col min="13" max="14" width="12.421875" style="1" customWidth="1"/>
    <col min="15" max="15" width="14.57421875" style="1" bestFit="1" customWidth="1"/>
    <col min="16" max="16384" width="12.421875" style="1" customWidth="1"/>
  </cols>
  <sheetData>
    <row r="1" ht="15.75" thickBot="1"/>
    <row r="2" spans="1:256" ht="15">
      <c r="A2" s="2"/>
      <c r="B2" s="3"/>
      <c r="C2" s="4" t="s">
        <v>30</v>
      </c>
      <c r="D2" s="4"/>
      <c r="E2" s="4"/>
      <c r="F2" s="4"/>
      <c r="G2" s="4"/>
      <c r="H2" s="4"/>
      <c r="I2" s="4"/>
      <c r="J2" s="4"/>
      <c r="K2" s="4"/>
      <c r="L2" s="5"/>
      <c r="M2" s="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7"/>
      <c r="B3" s="8"/>
      <c r="C3" s="9" t="s">
        <v>31</v>
      </c>
      <c r="D3" s="9"/>
      <c r="E3" s="9"/>
      <c r="F3" s="10"/>
      <c r="G3" s="9" t="s">
        <v>1</v>
      </c>
      <c r="H3" s="9"/>
      <c r="I3" s="9"/>
      <c r="J3" s="9"/>
      <c r="K3" s="9"/>
      <c r="L3" s="11"/>
      <c r="M3" s="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7"/>
      <c r="B4" s="8"/>
      <c r="C4" s="12" t="s">
        <v>2</v>
      </c>
      <c r="D4" s="13" t="s">
        <v>3</v>
      </c>
      <c r="E4" s="13" t="s">
        <v>4</v>
      </c>
      <c r="F4" s="14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6" t="s">
        <v>11</v>
      </c>
      <c r="M4" s="6"/>
      <c r="N4" s="27"/>
      <c r="O4" s="2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7" t="s">
        <v>12</v>
      </c>
      <c r="B5" s="8"/>
      <c r="C5" s="17">
        <v>36669500</v>
      </c>
      <c r="D5" s="17"/>
      <c r="E5" s="17"/>
      <c r="F5" s="18"/>
      <c r="G5" s="24">
        <v>9855</v>
      </c>
      <c r="H5" s="17">
        <v>9879</v>
      </c>
      <c r="I5" s="17">
        <v>3247</v>
      </c>
      <c r="J5" s="17">
        <v>3836</v>
      </c>
      <c r="K5" s="17">
        <v>4221</v>
      </c>
      <c r="L5" s="25">
        <v>8383</v>
      </c>
      <c r="M5" s="6"/>
      <c r="N5" s="2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7" t="s">
        <v>13</v>
      </c>
      <c r="B6" s="8"/>
      <c r="C6" s="17">
        <v>35372554</v>
      </c>
      <c r="D6" s="17"/>
      <c r="E6" s="17"/>
      <c r="F6" s="18"/>
      <c r="G6" s="24">
        <v>10103</v>
      </c>
      <c r="H6" s="17">
        <v>9943</v>
      </c>
      <c r="I6" s="17">
        <v>3368</v>
      </c>
      <c r="J6" s="17">
        <v>3770</v>
      </c>
      <c r="K6" s="17">
        <v>4150</v>
      </c>
      <c r="L6" s="25">
        <v>8078</v>
      </c>
      <c r="M6" s="6"/>
      <c r="N6" s="2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7" t="s">
        <v>14</v>
      </c>
      <c r="B7" s="8"/>
      <c r="C7" s="17">
        <v>35159407</v>
      </c>
      <c r="D7" s="17"/>
      <c r="E7" s="17"/>
      <c r="F7" s="18"/>
      <c r="G7" s="24">
        <v>10578</v>
      </c>
      <c r="H7" s="17">
        <v>9962</v>
      </c>
      <c r="I7" s="17">
        <v>3268</v>
      </c>
      <c r="J7" s="17">
        <v>3806</v>
      </c>
      <c r="K7" s="17">
        <v>4118</v>
      </c>
      <c r="L7" s="25">
        <v>8023</v>
      </c>
      <c r="M7" s="6"/>
      <c r="N7" s="2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7" t="s">
        <v>15</v>
      </c>
      <c r="B8" s="8"/>
      <c r="C8" s="17">
        <v>34110429</v>
      </c>
      <c r="D8" s="17"/>
      <c r="E8" s="17"/>
      <c r="F8" s="18"/>
      <c r="G8" s="24">
        <v>10569</v>
      </c>
      <c r="H8" s="17">
        <v>10373</v>
      </c>
      <c r="I8" s="17">
        <v>3329</v>
      </c>
      <c r="J8" s="17">
        <v>3788</v>
      </c>
      <c r="K8" s="17">
        <v>3992</v>
      </c>
      <c r="L8" s="25">
        <v>7693</v>
      </c>
      <c r="M8" s="6"/>
      <c r="N8" s="2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7" t="s">
        <v>16</v>
      </c>
      <c r="B9" s="8"/>
      <c r="C9" s="17">
        <v>34110429</v>
      </c>
      <c r="D9" s="17"/>
      <c r="E9" s="17"/>
      <c r="F9" s="18"/>
      <c r="G9" s="24">
        <v>10712</v>
      </c>
      <c r="H9" s="17">
        <v>11700</v>
      </c>
      <c r="I9" s="17">
        <v>3443</v>
      </c>
      <c r="J9" s="17">
        <v>3725</v>
      </c>
      <c r="K9" s="17">
        <v>3754</v>
      </c>
      <c r="L9" s="25">
        <v>6040</v>
      </c>
      <c r="M9" s="6"/>
      <c r="N9" s="2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7" t="s">
        <v>17</v>
      </c>
      <c r="B10" s="8"/>
      <c r="C10" s="17">
        <v>33653092</v>
      </c>
      <c r="D10" s="17"/>
      <c r="E10" s="17"/>
      <c r="F10" s="18"/>
      <c r="G10" s="24">
        <v>9765</v>
      </c>
      <c r="H10" s="17">
        <v>11251</v>
      </c>
      <c r="I10" s="17">
        <v>3367</v>
      </c>
      <c r="J10" s="17">
        <v>3752</v>
      </c>
      <c r="K10" s="17">
        <v>3790</v>
      </c>
      <c r="L10" s="25">
        <v>7310</v>
      </c>
      <c r="M10" s="6"/>
      <c r="N10" s="2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7" t="s">
        <v>18</v>
      </c>
      <c r="B11" s="8"/>
      <c r="C11" s="17">
        <v>37179193</v>
      </c>
      <c r="D11" s="17"/>
      <c r="E11" s="17"/>
      <c r="F11" s="18"/>
      <c r="G11" s="24">
        <v>9661</v>
      </c>
      <c r="H11" s="17">
        <v>10952</v>
      </c>
      <c r="I11" s="17">
        <v>3211</v>
      </c>
      <c r="J11" s="17">
        <v>3556</v>
      </c>
      <c r="K11" s="17">
        <v>3674</v>
      </c>
      <c r="L11" s="25">
        <v>8209</v>
      </c>
      <c r="M11" s="6"/>
      <c r="N11" s="2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7" t="s">
        <v>19</v>
      </c>
      <c r="B12" s="8"/>
      <c r="C12" s="17">
        <v>37696169</v>
      </c>
      <c r="D12" s="17"/>
      <c r="E12" s="17"/>
      <c r="F12" s="18"/>
      <c r="G12" s="24">
        <v>9657</v>
      </c>
      <c r="H12" s="17">
        <v>10930</v>
      </c>
      <c r="I12" s="17">
        <v>3130</v>
      </c>
      <c r="J12" s="17">
        <v>3507</v>
      </c>
      <c r="K12" s="17">
        <v>3732</v>
      </c>
      <c r="L12" s="25">
        <v>8297</v>
      </c>
      <c r="M12" s="6"/>
      <c r="N12" s="2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7" t="s">
        <v>20</v>
      </c>
      <c r="B13" s="8"/>
      <c r="C13" s="17">
        <v>36875672</v>
      </c>
      <c r="D13" s="17"/>
      <c r="E13" s="17"/>
      <c r="F13" s="18"/>
      <c r="G13" s="24">
        <v>9632</v>
      </c>
      <c r="H13" s="17">
        <v>10974</v>
      </c>
      <c r="I13" s="17">
        <v>3382</v>
      </c>
      <c r="J13" s="17">
        <v>3546</v>
      </c>
      <c r="K13" s="17">
        <v>3771</v>
      </c>
      <c r="L13" s="25">
        <v>8054</v>
      </c>
      <c r="M13" s="6"/>
      <c r="N13" s="2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" t="s">
        <v>21</v>
      </c>
      <c r="B14" s="8"/>
      <c r="C14" s="17">
        <v>31346482</v>
      </c>
      <c r="D14" s="17"/>
      <c r="E14" s="17"/>
      <c r="F14" s="18"/>
      <c r="G14" s="24">
        <v>10077</v>
      </c>
      <c r="H14" s="17">
        <v>11683</v>
      </c>
      <c r="I14" s="17">
        <v>3400</v>
      </c>
      <c r="J14" s="17">
        <v>3686</v>
      </c>
      <c r="K14" s="17">
        <v>3741</v>
      </c>
      <c r="L14" s="25">
        <v>6552</v>
      </c>
      <c r="M14" s="6"/>
      <c r="N14" s="2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" t="s">
        <v>22</v>
      </c>
      <c r="B15" s="8"/>
      <c r="C15" s="17">
        <v>29731459</v>
      </c>
      <c r="D15" s="17"/>
      <c r="E15" s="17"/>
      <c r="F15" s="18"/>
      <c r="G15" s="24">
        <v>10416</v>
      </c>
      <c r="H15" s="17">
        <v>11398</v>
      </c>
      <c r="I15" s="17">
        <v>3519</v>
      </c>
      <c r="J15" s="17">
        <v>3598</v>
      </c>
      <c r="K15" s="17">
        <v>3818</v>
      </c>
      <c r="L15" s="25">
        <v>6258</v>
      </c>
      <c r="M15" s="6"/>
      <c r="N15" s="2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" t="s">
        <v>23</v>
      </c>
      <c r="B16" s="8"/>
      <c r="C16" s="17">
        <v>32059878</v>
      </c>
      <c r="D16" s="17"/>
      <c r="E16" s="17"/>
      <c r="F16" s="18"/>
      <c r="G16" s="24">
        <v>9936</v>
      </c>
      <c r="H16" s="17">
        <v>10692</v>
      </c>
      <c r="I16" s="17">
        <v>3377</v>
      </c>
      <c r="J16" s="17">
        <v>3666</v>
      </c>
      <c r="K16" s="17">
        <v>3992</v>
      </c>
      <c r="L16" s="25">
        <v>7026</v>
      </c>
      <c r="M16" s="6"/>
      <c r="N16" s="2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thickBo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Utility 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 Theriault</dc:creator>
  <cp:keywords/>
  <dc:description/>
  <cp:lastModifiedBy>Angela Monroe</cp:lastModifiedBy>
  <dcterms:created xsi:type="dcterms:W3CDTF">2012-09-06T15:35:45Z</dcterms:created>
  <dcterms:modified xsi:type="dcterms:W3CDTF">2012-09-11T16:14:55Z</dcterms:modified>
  <cp:category/>
  <cp:version/>
  <cp:contentType/>
  <cp:contentStatus/>
</cp:coreProperties>
</file>